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E10C54F5-D788-4630-B244-CE2D9F6F40BF}" xr6:coauthVersionLast="47" xr6:coauthVersionMax="47" xr10:uidLastSave="{00000000-0000-0000-0000-000000000000}"/>
  <bookViews>
    <workbookView xWindow="28680" yWindow="-120" windowWidth="38640" windowHeight="21240" tabRatio="854" xr2:uid="{00000000-000D-0000-FFFF-FFFF00000000}"/>
  </bookViews>
  <sheets>
    <sheet name="Intro" sheetId="13" r:id="rId1"/>
    <sheet name="2.1 SST-Kennzahlen 5 Jahre" sheetId="5" r:id="rId2"/>
    <sheet name="2.1 Komponenten SST-Quotient" sheetId="3" r:id="rId3"/>
    <sheet name="5.1 Übersicht RTK" sheetId="10" r:id="rId4"/>
    <sheet name="5.4 Bilanz-Überleitung" sheetId="9" r:id="rId5"/>
    <sheet name="6.1 Übersicht ZK" sheetId="11" r:id="rId6"/>
    <sheet name="6.6 u 6.7 Erw. Erg" sheetId="12" r:id="rId7"/>
    <sheet name="Glossary" sheetId="14" r:id="rId8"/>
  </sheets>
  <externalReferences>
    <externalReference r:id="rId9"/>
    <externalReference r:id="rId10"/>
    <externalReference r:id="rId11"/>
    <externalReference r:id="rId12"/>
    <externalReference r:id="rId13"/>
  </externalReferences>
  <definedNames>
    <definedName name="_AMO_RefreshMultipleList" hidden="1">"'&lt;Items&gt;_x000D_
  &lt;Item Id=""957178641"" Checked=""True"" /&gt;_x000D_
&lt;/Items&gt;'"</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0.99</definedName>
    <definedName name="_AtRisk_SimSetting_ConvergencePerformMeanTest" hidden="1">TRUE</definedName>
    <definedName name="_AtRisk_SimSetting_ConvergencePerformPercentileTest" hidden="1">TRUE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#REF!</definedName>
    <definedName name="_xlnm._FilterDatabase" localSheetId="4" hidden="1">'5.4 Bilanz-Überleitung'!$H$6:$H$265</definedName>
    <definedName name="_xlnm._FilterDatabase" localSheetId="5" hidden="1">#REF!</definedName>
    <definedName name="_xlnm._FilterDatabase" localSheetId="6" hidden="1">#REF!</definedName>
    <definedName name="_xlnm._FilterDatabase" hidden="1">#REF!</definedName>
    <definedName name="Glossary">Glossary!$B$6:$F$424</definedName>
    <definedName name="Jahr">Intro!$E$6</definedName>
    <definedName name="Pal_Workbook_GUID" hidden="1">"JUIPXNED1BF96TK5NRT8UINX"</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1258</definedName>
    <definedName name="RiskHasSettings" hidden="1">7</definedName>
    <definedName name="RiskMinimizeOnStart" hidden="1">FALSE</definedName>
    <definedName name="RiskMonitorConvergence" hidden="1">TRUE</definedName>
    <definedName name="RiskMultipleCPUSupportEnabled" hidden="1">TRUE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SAPBEXrevision" hidden="1">1</definedName>
    <definedName name="SAPBEXsysID" hidden="1">"RBP"</definedName>
    <definedName name="SAPBEXwbID" hidden="1">"4014C4VQ0RGLKY3L733VNUP07"</definedName>
    <definedName name="Sprache">Intro!$E$4</definedName>
    <definedName name="Unit">"in Mio. "</definedName>
  </definedNames>
  <calcPr calcId="191028" refMode="R1C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1" l="1"/>
  <c r="D15" i="11"/>
  <c r="J20" i="12"/>
  <c r="F276" i="9"/>
  <c r="F275" i="9"/>
  <c r="E276" i="9"/>
  <c r="E275" i="9"/>
  <c r="D20" i="12"/>
  <c r="D7" i="12"/>
  <c r="D14" i="11"/>
  <c r="D13" i="11"/>
  <c r="D12" i="11"/>
  <c r="D11" i="11"/>
  <c r="D10" i="11"/>
  <c r="D9" i="11"/>
  <c r="D8" i="11"/>
  <c r="D7" i="11"/>
  <c r="D17" i="10"/>
  <c r="D16" i="10"/>
  <c r="D15" i="10"/>
  <c r="D14" i="10"/>
  <c r="D13" i="10"/>
  <c r="D12" i="10"/>
  <c r="D11" i="10"/>
  <c r="D10" i="10"/>
  <c r="D9" i="10"/>
  <c r="D8" i="10"/>
  <c r="D7" i="10"/>
  <c r="D21" i="3"/>
  <c r="D20" i="3"/>
  <c r="D19" i="3"/>
  <c r="D18" i="3"/>
  <c r="D17" i="3"/>
  <c r="D16" i="3"/>
  <c r="D15" i="3"/>
  <c r="D14" i="3"/>
  <c r="D13" i="3"/>
  <c r="D11" i="3"/>
  <c r="D10" i="3"/>
  <c r="D9" i="3"/>
  <c r="D8" i="3"/>
  <c r="D7" i="3"/>
  <c r="D14" i="5"/>
  <c r="D13" i="5"/>
  <c r="D12" i="5"/>
  <c r="D10" i="5"/>
  <c r="D9" i="5"/>
  <c r="D7" i="5"/>
  <c r="D264" i="9"/>
  <c r="D249" i="9"/>
  <c r="D247" i="9"/>
  <c r="D246" i="9"/>
  <c r="D245" i="9"/>
  <c r="D243" i="9"/>
  <c r="D242" i="9"/>
  <c r="D241" i="9"/>
  <c r="D239" i="9"/>
  <c r="D238" i="9"/>
  <c r="D237" i="9"/>
  <c r="D235" i="9"/>
  <c r="D233" i="9"/>
  <c r="D232" i="9"/>
  <c r="D231" i="9"/>
  <c r="D230" i="9"/>
  <c r="D229" i="9"/>
  <c r="D228" i="9"/>
  <c r="D227" i="9"/>
  <c r="D225" i="9"/>
  <c r="D223" i="9"/>
  <c r="D222" i="9"/>
  <c r="D221" i="9"/>
  <c r="D220" i="9"/>
  <c r="D218" i="9"/>
  <c r="D216" i="9"/>
  <c r="D215" i="9"/>
  <c r="D214" i="9"/>
  <c r="D213" i="9"/>
  <c r="D212" i="9"/>
  <c r="D211" i="9"/>
  <c r="D210" i="9"/>
  <c r="D208" i="9"/>
  <c r="D207" i="9"/>
  <c r="D206" i="9"/>
  <c r="D205" i="9"/>
  <c r="D204" i="9"/>
  <c r="D202" i="9"/>
  <c r="D198" i="9"/>
  <c r="D193" i="9"/>
  <c r="D192" i="9"/>
  <c r="D191" i="9"/>
  <c r="D190" i="9"/>
  <c r="D189" i="9"/>
  <c r="D185" i="9"/>
  <c r="D183" i="9"/>
  <c r="D182" i="9"/>
  <c r="D181" i="9"/>
  <c r="D180" i="9"/>
  <c r="D179" i="9"/>
  <c r="D178" i="9"/>
  <c r="D177" i="9"/>
  <c r="D176" i="9"/>
  <c r="D175" i="9"/>
  <c r="D174" i="9"/>
  <c r="D173" i="9"/>
  <c r="D168" i="9"/>
  <c r="D166" i="9"/>
  <c r="D164" i="9"/>
  <c r="D163" i="9"/>
  <c r="D162" i="9"/>
  <c r="D161" i="9"/>
  <c r="D160" i="9"/>
  <c r="D158" i="9"/>
  <c r="D156" i="9"/>
  <c r="D155" i="9"/>
  <c r="D154" i="9"/>
  <c r="D152" i="9"/>
  <c r="D148" i="9"/>
  <c r="D147" i="9"/>
  <c r="D146" i="9"/>
  <c r="D145" i="9"/>
  <c r="D144" i="9"/>
  <c r="D143" i="9"/>
  <c r="D141" i="9"/>
  <c r="D139" i="9"/>
  <c r="D137" i="9"/>
  <c r="D136" i="9"/>
  <c r="D135" i="9"/>
  <c r="D133" i="9"/>
  <c r="D132" i="9"/>
  <c r="D131" i="9"/>
  <c r="D128" i="9"/>
  <c r="D127" i="9"/>
  <c r="D126" i="9"/>
  <c r="D125" i="9"/>
  <c r="D122" i="9"/>
  <c r="D121" i="9"/>
  <c r="D120" i="9"/>
  <c r="D119" i="9"/>
  <c r="D118" i="9"/>
  <c r="D116" i="9"/>
  <c r="D115" i="9"/>
  <c r="D114" i="9"/>
  <c r="D113" i="9"/>
  <c r="D111" i="9"/>
  <c r="D109" i="9"/>
  <c r="D108" i="9"/>
  <c r="D107" i="9"/>
  <c r="D106" i="9"/>
  <c r="D105" i="9"/>
  <c r="D104" i="9"/>
  <c r="D103" i="9"/>
  <c r="D101" i="9"/>
  <c r="D100" i="9"/>
  <c r="D99" i="9"/>
  <c r="D98" i="9"/>
  <c r="D97" i="9"/>
  <c r="D96" i="9"/>
  <c r="D95" i="9"/>
  <c r="D93" i="9"/>
  <c r="D92" i="9"/>
  <c r="D88" i="9"/>
  <c r="D86" i="9"/>
  <c r="D85" i="9"/>
  <c r="D84" i="9"/>
  <c r="D83" i="9"/>
  <c r="D82" i="9"/>
  <c r="D81" i="9"/>
  <c r="D80" i="9"/>
  <c r="D78" i="9"/>
  <c r="D77" i="9"/>
  <c r="D76" i="9"/>
  <c r="D74" i="9"/>
  <c r="D73" i="9"/>
  <c r="D72" i="9"/>
  <c r="D71" i="9"/>
  <c r="D69" i="9"/>
  <c r="D68" i="9"/>
  <c r="D67" i="9"/>
  <c r="D66" i="9"/>
  <c r="D64" i="9"/>
  <c r="D63" i="9"/>
  <c r="D62" i="9"/>
  <c r="D61" i="9"/>
  <c r="D60" i="9"/>
  <c r="D59" i="9"/>
  <c r="D58" i="9"/>
  <c r="D57" i="9"/>
  <c r="D55" i="9"/>
  <c r="D54" i="9"/>
  <c r="D53" i="9"/>
  <c r="D52" i="9"/>
  <c r="D50" i="9"/>
  <c r="D49" i="9"/>
  <c r="D48" i="9"/>
  <c r="D47" i="9"/>
  <c r="D46" i="9"/>
  <c r="D45" i="9"/>
  <c r="D44" i="9"/>
  <c r="D42" i="9"/>
  <c r="D41" i="9"/>
  <c r="D40" i="9"/>
  <c r="D39" i="9"/>
  <c r="D37" i="9"/>
  <c r="D36" i="9"/>
  <c r="D35" i="9"/>
  <c r="D34" i="9"/>
  <c r="D33" i="9"/>
  <c r="D32" i="9"/>
  <c r="D31" i="9"/>
  <c r="D30" i="9"/>
  <c r="D29" i="9"/>
  <c r="D27" i="9"/>
  <c r="D26" i="9"/>
  <c r="D25" i="9"/>
  <c r="D23" i="9"/>
  <c r="D22" i="9"/>
  <c r="D21" i="9"/>
  <c r="D20" i="9"/>
  <c r="D16" i="9"/>
  <c r="D14" i="9"/>
  <c r="D13" i="9"/>
  <c r="D11" i="9"/>
  <c r="D10" i="9"/>
  <c r="D8" i="9"/>
  <c r="D267" i="9" s="1"/>
  <c r="C264" i="9"/>
  <c r="C262" i="9"/>
  <c r="C261" i="9"/>
  <c r="C260" i="9"/>
  <c r="C259" i="9"/>
  <c r="C258" i="9"/>
  <c r="C257" i="9"/>
  <c r="C256" i="9"/>
  <c r="C255" i="9"/>
  <c r="C254" i="9"/>
  <c r="C253" i="9"/>
  <c r="C252" i="9"/>
  <c r="C251" i="9"/>
  <c r="C250" i="9"/>
  <c r="C249" i="9"/>
  <c r="C247" i="9"/>
  <c r="C246" i="9"/>
  <c r="C245" i="9"/>
  <c r="C243" i="9"/>
  <c r="C242" i="9"/>
  <c r="C241" i="9"/>
  <c r="C239" i="9"/>
  <c r="C238" i="9"/>
  <c r="C237" i="9"/>
  <c r="C235" i="9"/>
  <c r="C233" i="9"/>
  <c r="C232" i="9"/>
  <c r="C231" i="9"/>
  <c r="C230" i="9"/>
  <c r="C229" i="9"/>
  <c r="C228" i="9"/>
  <c r="C227" i="9"/>
  <c r="C225" i="9"/>
  <c r="C223" i="9"/>
  <c r="C222" i="9"/>
  <c r="C221" i="9"/>
  <c r="C220" i="9"/>
  <c r="C218" i="9"/>
  <c r="C216" i="9"/>
  <c r="C215" i="9"/>
  <c r="C214" i="9"/>
  <c r="C213" i="9"/>
  <c r="C212" i="9"/>
  <c r="C211" i="9"/>
  <c r="C210" i="9"/>
  <c r="C208" i="9"/>
  <c r="C207" i="9"/>
  <c r="C206" i="9"/>
  <c r="C205" i="9"/>
  <c r="C204" i="9"/>
  <c r="C203" i="9"/>
  <c r="C202" i="9"/>
  <c r="C201" i="9"/>
  <c r="C200" i="9"/>
  <c r="C199" i="9"/>
  <c r="C198" i="9"/>
  <c r="C196" i="9"/>
  <c r="C195" i="9"/>
  <c r="C194" i="9"/>
  <c r="C193" i="9"/>
  <c r="C192" i="9"/>
  <c r="C191" i="9"/>
  <c r="C190" i="9"/>
  <c r="C189" i="9"/>
  <c r="C188" i="9"/>
  <c r="C187" i="9"/>
  <c r="C186" i="9"/>
  <c r="C185" i="9"/>
  <c r="C183" i="9"/>
  <c r="C182" i="9"/>
  <c r="C181" i="9"/>
  <c r="C180" i="9"/>
  <c r="C179" i="9"/>
  <c r="C178" i="9"/>
  <c r="C177" i="9"/>
  <c r="C176" i="9"/>
  <c r="C175" i="9"/>
  <c r="C174" i="9"/>
  <c r="C173" i="9"/>
  <c r="C168" i="9"/>
  <c r="C166" i="9"/>
  <c r="C164" i="9"/>
  <c r="C163" i="9"/>
  <c r="C162" i="9"/>
  <c r="C161" i="9"/>
  <c r="C160" i="9"/>
  <c r="C158" i="9"/>
  <c r="C156" i="9"/>
  <c r="C155" i="9"/>
  <c r="C154" i="9"/>
  <c r="C152" i="9"/>
  <c r="C150" i="9"/>
  <c r="C149" i="9"/>
  <c r="C148" i="9"/>
  <c r="C147" i="9"/>
  <c r="C146" i="9"/>
  <c r="C145" i="9"/>
  <c r="C144" i="9"/>
  <c r="C143" i="9"/>
  <c r="C141" i="9"/>
  <c r="C139" i="9"/>
  <c r="C137" i="9"/>
  <c r="C136" i="9"/>
  <c r="C135" i="9"/>
  <c r="C133" i="9"/>
  <c r="C132" i="9"/>
  <c r="C131" i="9"/>
  <c r="C130" i="9"/>
  <c r="C129" i="9"/>
  <c r="C128" i="9"/>
  <c r="C127" i="9"/>
  <c r="C126" i="9"/>
  <c r="C125" i="9"/>
  <c r="C124" i="9"/>
  <c r="C123" i="9"/>
  <c r="C122" i="9"/>
  <c r="C121" i="9"/>
  <c r="C120" i="9"/>
  <c r="C119" i="9"/>
  <c r="C118" i="9"/>
  <c r="C116" i="9"/>
  <c r="C115" i="9"/>
  <c r="C114" i="9"/>
  <c r="C113" i="9"/>
  <c r="C111" i="9"/>
  <c r="C109" i="9"/>
  <c r="C108" i="9"/>
  <c r="C107" i="9"/>
  <c r="C106" i="9"/>
  <c r="C105" i="9"/>
  <c r="C104" i="9"/>
  <c r="C103" i="9"/>
  <c r="C101" i="9"/>
  <c r="C100" i="9"/>
  <c r="C99" i="9"/>
  <c r="C98" i="9"/>
  <c r="C97" i="9"/>
  <c r="C96" i="9"/>
  <c r="C95" i="9"/>
  <c r="C93" i="9"/>
  <c r="C92" i="9"/>
  <c r="C88" i="9"/>
  <c r="C86" i="9"/>
  <c r="C85" i="9"/>
  <c r="C84" i="9"/>
  <c r="C83" i="9"/>
  <c r="C82" i="9"/>
  <c r="C81" i="9"/>
  <c r="C80" i="9"/>
  <c r="C78" i="9"/>
  <c r="C77" i="9"/>
  <c r="C76" i="9"/>
  <c r="C74" i="9"/>
  <c r="C73" i="9"/>
  <c r="C72" i="9"/>
  <c r="C71" i="9"/>
  <c r="C69" i="9"/>
  <c r="C68" i="9"/>
  <c r="C67" i="9"/>
  <c r="C66" i="9"/>
  <c r="C64" i="9"/>
  <c r="C63" i="9"/>
  <c r="C62" i="9"/>
  <c r="C61" i="9"/>
  <c r="C60" i="9"/>
  <c r="C59" i="9"/>
  <c r="C58" i="9"/>
  <c r="C57" i="9"/>
  <c r="C55" i="9"/>
  <c r="C54" i="9"/>
  <c r="C53" i="9"/>
  <c r="C52" i="9"/>
  <c r="C50" i="9"/>
  <c r="C49" i="9"/>
  <c r="C48" i="9"/>
  <c r="C47" i="9"/>
  <c r="C46" i="9"/>
  <c r="C45" i="9"/>
  <c r="C44" i="9"/>
  <c r="C42" i="9"/>
  <c r="C41" i="9"/>
  <c r="C40" i="9"/>
  <c r="C39" i="9"/>
  <c r="C37" i="9"/>
  <c r="C36" i="9"/>
  <c r="C35" i="9"/>
  <c r="C34" i="9"/>
  <c r="C33" i="9"/>
  <c r="C32" i="9"/>
  <c r="C31" i="9"/>
  <c r="C30" i="9"/>
  <c r="C29" i="9"/>
  <c r="C27" i="9"/>
  <c r="C26" i="9"/>
  <c r="C25" i="9"/>
  <c r="C23" i="9"/>
  <c r="C22" i="9"/>
  <c r="C21" i="9"/>
  <c r="C20" i="9"/>
  <c r="C18" i="9"/>
  <c r="C17" i="9"/>
  <c r="C16" i="9"/>
  <c r="C15" i="9"/>
  <c r="C14" i="9"/>
  <c r="C13" i="9"/>
  <c r="C12" i="9"/>
  <c r="C11" i="9"/>
  <c r="C10" i="9"/>
  <c r="C9" i="9"/>
  <c r="C8" i="9"/>
  <c r="E264" i="9"/>
  <c r="E262" i="9"/>
  <c r="E261" i="9"/>
  <c r="E260" i="9"/>
  <c r="E259" i="9"/>
  <c r="E258" i="9"/>
  <c r="E257" i="9"/>
  <c r="E256" i="9"/>
  <c r="E255" i="9"/>
  <c r="E254" i="9"/>
  <c r="E253" i="9"/>
  <c r="E252" i="9"/>
  <c r="E251" i="9"/>
  <c r="E250" i="9"/>
  <c r="E249" i="9"/>
  <c r="E247" i="9"/>
  <c r="E246" i="9"/>
  <c r="E245" i="9"/>
  <c r="E243" i="9"/>
  <c r="E242" i="9"/>
  <c r="E241" i="9"/>
  <c r="E239" i="9"/>
  <c r="E238" i="9"/>
  <c r="E237" i="9"/>
  <c r="E235" i="9"/>
  <c r="E233" i="9"/>
  <c r="E232" i="9"/>
  <c r="E231" i="9"/>
  <c r="E230" i="9"/>
  <c r="E229" i="9"/>
  <c r="E228" i="9"/>
  <c r="E227" i="9"/>
  <c r="E225" i="9"/>
  <c r="E223" i="9"/>
  <c r="E222" i="9"/>
  <c r="E221" i="9"/>
  <c r="E220" i="9"/>
  <c r="E218" i="9"/>
  <c r="E216" i="9"/>
  <c r="E215" i="9"/>
  <c r="E214" i="9"/>
  <c r="E213" i="9"/>
  <c r="E212" i="9"/>
  <c r="E211" i="9"/>
  <c r="E210" i="9"/>
  <c r="E208" i="9"/>
  <c r="E207" i="9"/>
  <c r="E206" i="9"/>
  <c r="E205" i="9"/>
  <c r="E204" i="9"/>
  <c r="E203" i="9"/>
  <c r="E202" i="9"/>
  <c r="E201" i="9"/>
  <c r="E200" i="9"/>
  <c r="E199" i="9"/>
  <c r="E198" i="9"/>
  <c r="E196" i="9"/>
  <c r="E195" i="9"/>
  <c r="E194" i="9"/>
  <c r="E193" i="9"/>
  <c r="E192" i="9"/>
  <c r="E191" i="9"/>
  <c r="E190" i="9"/>
  <c r="E189" i="9"/>
  <c r="E188" i="9"/>
  <c r="E187" i="9"/>
  <c r="E186" i="9"/>
  <c r="E185" i="9"/>
  <c r="E183" i="9"/>
  <c r="E182" i="9"/>
  <c r="E181" i="9"/>
  <c r="E180" i="9"/>
  <c r="E179" i="9"/>
  <c r="E178" i="9"/>
  <c r="E177" i="9"/>
  <c r="E176" i="9"/>
  <c r="E175" i="9"/>
  <c r="E174" i="9"/>
  <c r="E173" i="9"/>
  <c r="E168" i="9"/>
  <c r="E166" i="9"/>
  <c r="E164" i="9"/>
  <c r="E163" i="9"/>
  <c r="E162" i="9"/>
  <c r="E161" i="9"/>
  <c r="E160" i="9"/>
  <c r="E158" i="9"/>
  <c r="E156" i="9"/>
  <c r="E155" i="9"/>
  <c r="E154" i="9"/>
  <c r="E152" i="9"/>
  <c r="E150" i="9"/>
  <c r="E149" i="9"/>
  <c r="E148" i="9"/>
  <c r="E147" i="9"/>
  <c r="E146" i="9"/>
  <c r="E145" i="9"/>
  <c r="E144" i="9"/>
  <c r="E143" i="9"/>
  <c r="E141" i="9"/>
  <c r="E139" i="9"/>
  <c r="E137" i="9"/>
  <c r="E136" i="9"/>
  <c r="E135" i="9"/>
  <c r="E133" i="9"/>
  <c r="E132" i="9"/>
  <c r="E131" i="9"/>
  <c r="E130" i="9"/>
  <c r="E129" i="9"/>
  <c r="E128" i="9"/>
  <c r="E127" i="9"/>
  <c r="E126" i="9"/>
  <c r="E125" i="9"/>
  <c r="E124" i="9"/>
  <c r="E123" i="9"/>
  <c r="E122" i="9"/>
  <c r="E121" i="9"/>
  <c r="E120" i="9"/>
  <c r="E119" i="9"/>
  <c r="E118" i="9"/>
  <c r="E116" i="9"/>
  <c r="E115" i="9"/>
  <c r="E114" i="9"/>
  <c r="E113" i="9"/>
  <c r="E111" i="9"/>
  <c r="E109" i="9"/>
  <c r="E108" i="9"/>
  <c r="E107" i="9"/>
  <c r="E106" i="9"/>
  <c r="E105" i="9"/>
  <c r="E104" i="9"/>
  <c r="E103" i="9"/>
  <c r="E101" i="9"/>
  <c r="E100" i="9"/>
  <c r="E99" i="9"/>
  <c r="E98" i="9"/>
  <c r="E97" i="9"/>
  <c r="E96" i="9"/>
  <c r="E95" i="9"/>
  <c r="E93" i="9"/>
  <c r="E92" i="9"/>
  <c r="E88" i="9"/>
  <c r="E86" i="9"/>
  <c r="E85" i="9"/>
  <c r="E84" i="9"/>
  <c r="E83" i="9"/>
  <c r="E82" i="9"/>
  <c r="E81" i="9"/>
  <c r="E80" i="9"/>
  <c r="E78" i="9"/>
  <c r="E77" i="9"/>
  <c r="E76" i="9"/>
  <c r="E74" i="9"/>
  <c r="E73" i="9"/>
  <c r="E72" i="9"/>
  <c r="E71" i="9"/>
  <c r="E69" i="9"/>
  <c r="E68" i="9"/>
  <c r="E67" i="9"/>
  <c r="E66" i="9"/>
  <c r="E64" i="9"/>
  <c r="E63" i="9"/>
  <c r="E62" i="9"/>
  <c r="E61" i="9"/>
  <c r="E60" i="9"/>
  <c r="E59" i="9"/>
  <c r="E58" i="9"/>
  <c r="E57" i="9"/>
  <c r="E55" i="9"/>
  <c r="E54" i="9"/>
  <c r="E53" i="9"/>
  <c r="E52" i="9"/>
  <c r="E50" i="9"/>
  <c r="E49" i="9"/>
  <c r="E48" i="9"/>
  <c r="E47" i="9"/>
  <c r="E46" i="9"/>
  <c r="E45" i="9"/>
  <c r="E44" i="9"/>
  <c r="E42" i="9"/>
  <c r="E41" i="9"/>
  <c r="E40" i="9"/>
  <c r="E39" i="9"/>
  <c r="E37" i="9"/>
  <c r="E36" i="9"/>
  <c r="E35" i="9"/>
  <c r="E34" i="9"/>
  <c r="E33" i="9"/>
  <c r="E32" i="9"/>
  <c r="E31" i="9"/>
  <c r="E30" i="9"/>
  <c r="E29" i="9"/>
  <c r="E27" i="9"/>
  <c r="E26" i="9"/>
  <c r="E25" i="9"/>
  <c r="E23" i="9"/>
  <c r="E22" i="9"/>
  <c r="E21" i="9"/>
  <c r="E20" i="9"/>
  <c r="E18" i="9"/>
  <c r="E17" i="9"/>
  <c r="E16" i="9"/>
  <c r="E15" i="9"/>
  <c r="E14" i="9"/>
  <c r="E13" i="9"/>
  <c r="E12" i="9"/>
  <c r="E11" i="9"/>
  <c r="E10" i="9"/>
  <c r="E9" i="9"/>
  <c r="E8" i="9"/>
  <c r="F264" i="9"/>
  <c r="F249" i="9"/>
  <c r="F247" i="9"/>
  <c r="F246" i="9"/>
  <c r="F245" i="9"/>
  <c r="F243" i="9"/>
  <c r="F242" i="9"/>
  <c r="F241" i="9"/>
  <c r="F239" i="9"/>
  <c r="F238" i="9"/>
  <c r="F237" i="9"/>
  <c r="F235" i="9"/>
  <c r="F233" i="9"/>
  <c r="F232" i="9"/>
  <c r="F231" i="9"/>
  <c r="F230" i="9"/>
  <c r="F229" i="9"/>
  <c r="F228" i="9"/>
  <c r="F227" i="9"/>
  <c r="F225" i="9"/>
  <c r="F223" i="9"/>
  <c r="F222" i="9"/>
  <c r="F221" i="9"/>
  <c r="F220" i="9"/>
  <c r="F218" i="9"/>
  <c r="F216" i="9"/>
  <c r="F215" i="9"/>
  <c r="F214" i="9"/>
  <c r="F213" i="9"/>
  <c r="F212" i="9"/>
  <c r="F211" i="9"/>
  <c r="F210" i="9"/>
  <c r="F208" i="9"/>
  <c r="F207" i="9"/>
  <c r="F206" i="9"/>
  <c r="F205" i="9"/>
  <c r="F204" i="9"/>
  <c r="F202" i="9"/>
  <c r="F198" i="9"/>
  <c r="F193" i="9"/>
  <c r="F192" i="9"/>
  <c r="F191" i="9"/>
  <c r="F190" i="9"/>
  <c r="F189" i="9"/>
  <c r="F185" i="9"/>
  <c r="F183" i="9"/>
  <c r="F182" i="9"/>
  <c r="F181" i="9"/>
  <c r="F180" i="9"/>
  <c r="F179" i="9"/>
  <c r="F178" i="9"/>
  <c r="F177" i="9"/>
  <c r="F176" i="9"/>
  <c r="F175" i="9"/>
  <c r="F174" i="9"/>
  <c r="F173" i="9"/>
  <c r="F168" i="9"/>
  <c r="F166" i="9"/>
  <c r="F164" i="9"/>
  <c r="F163" i="9"/>
  <c r="F162" i="9"/>
  <c r="F161" i="9"/>
  <c r="F160" i="9"/>
  <c r="F158" i="9"/>
  <c r="F156" i="9"/>
  <c r="F155" i="9"/>
  <c r="F154" i="9"/>
  <c r="F152" i="9"/>
  <c r="F148" i="9"/>
  <c r="F147" i="9"/>
  <c r="F146" i="9"/>
  <c r="F145" i="9"/>
  <c r="F144" i="9"/>
  <c r="F143" i="9"/>
  <c r="F141" i="9"/>
  <c r="F139" i="9"/>
  <c r="F137" i="9"/>
  <c r="F136" i="9"/>
  <c r="F135" i="9"/>
  <c r="F133" i="9"/>
  <c r="F132" i="9"/>
  <c r="F131" i="9"/>
  <c r="F128" i="9"/>
  <c r="F127" i="9"/>
  <c r="F126" i="9"/>
  <c r="F125" i="9"/>
  <c r="F122" i="9"/>
  <c r="F121" i="9"/>
  <c r="F120" i="9"/>
  <c r="F119" i="9"/>
  <c r="F118" i="9"/>
  <c r="F116" i="9"/>
  <c r="F115" i="9"/>
  <c r="F114" i="9"/>
  <c r="F113" i="9"/>
  <c r="F111" i="9"/>
  <c r="F109" i="9"/>
  <c r="F108" i="9"/>
  <c r="F107" i="9"/>
  <c r="F106" i="9"/>
  <c r="F105" i="9"/>
  <c r="F104" i="9"/>
  <c r="F103" i="9"/>
  <c r="F101" i="9"/>
  <c r="F100" i="9"/>
  <c r="F99" i="9"/>
  <c r="F98" i="9"/>
  <c r="F97" i="9"/>
  <c r="F96" i="9"/>
  <c r="F95" i="9"/>
  <c r="F93" i="9"/>
  <c r="F92" i="9"/>
  <c r="F88" i="9"/>
  <c r="F86" i="9"/>
  <c r="F85" i="9"/>
  <c r="F84" i="9"/>
  <c r="F83" i="9"/>
  <c r="F82" i="9"/>
  <c r="F81" i="9"/>
  <c r="F80" i="9"/>
  <c r="F78" i="9"/>
  <c r="F77" i="9"/>
  <c r="F76" i="9"/>
  <c r="F74" i="9"/>
  <c r="F73" i="9"/>
  <c r="F72" i="9"/>
  <c r="F71" i="9"/>
  <c r="F69" i="9"/>
  <c r="F68" i="9"/>
  <c r="F67" i="9"/>
  <c r="F66" i="9"/>
  <c r="F64" i="9"/>
  <c r="F63" i="9"/>
  <c r="F62" i="9"/>
  <c r="F61" i="9"/>
  <c r="F60" i="9"/>
  <c r="F59" i="9"/>
  <c r="F58" i="9"/>
  <c r="F57" i="9"/>
  <c r="F55" i="9"/>
  <c r="F54" i="9"/>
  <c r="F53" i="9"/>
  <c r="F52" i="9"/>
  <c r="F50" i="9"/>
  <c r="F49" i="9"/>
  <c r="F48" i="9"/>
  <c r="F47" i="9"/>
  <c r="F46" i="9"/>
  <c r="F45" i="9"/>
  <c r="F44" i="9"/>
  <c r="F42" i="9"/>
  <c r="F41" i="9"/>
  <c r="F40" i="9"/>
  <c r="F39" i="9"/>
  <c r="F37" i="9"/>
  <c r="F36" i="9"/>
  <c r="F35" i="9"/>
  <c r="F34" i="9"/>
  <c r="F33" i="9"/>
  <c r="F32" i="9"/>
  <c r="F31" i="9"/>
  <c r="F30" i="9"/>
  <c r="F29" i="9"/>
  <c r="F27" i="9"/>
  <c r="F26" i="9"/>
  <c r="F25" i="9"/>
  <c r="F23" i="9"/>
  <c r="F22" i="9"/>
  <c r="F21" i="9"/>
  <c r="F20" i="9"/>
  <c r="F16" i="9"/>
  <c r="F14" i="9"/>
  <c r="F13" i="9"/>
  <c r="F11" i="9"/>
  <c r="F10" i="9"/>
  <c r="F8" i="9"/>
  <c r="F267" i="9" s="1"/>
  <c r="G20" i="12"/>
  <c r="G7" i="12"/>
  <c r="J14" i="11"/>
  <c r="J13" i="11"/>
  <c r="J12" i="11"/>
  <c r="J11" i="11"/>
  <c r="J10" i="11"/>
  <c r="J9" i="11"/>
  <c r="J8" i="11"/>
  <c r="J7" i="11"/>
  <c r="J17" i="10"/>
  <c r="J16" i="10"/>
  <c r="J15" i="10"/>
  <c r="J14" i="10"/>
  <c r="J13" i="10"/>
  <c r="J12" i="10"/>
  <c r="J11" i="10"/>
  <c r="J10" i="10"/>
  <c r="J9" i="10"/>
  <c r="J8" i="10"/>
  <c r="J7" i="10"/>
  <c r="M21" i="3"/>
  <c r="M20" i="3"/>
  <c r="M19" i="3"/>
  <c r="M18" i="3"/>
  <c r="M17" i="3"/>
  <c r="M16" i="3"/>
  <c r="M15" i="3"/>
  <c r="M14" i="3"/>
  <c r="M13" i="3"/>
  <c r="M11" i="3"/>
  <c r="M10" i="3"/>
  <c r="M9" i="3"/>
  <c r="M8" i="3"/>
  <c r="M7" i="3"/>
  <c r="F14" i="5"/>
  <c r="F13" i="5"/>
  <c r="F12" i="5"/>
  <c r="F10" i="5"/>
  <c r="F9" i="5"/>
  <c r="F7" i="5"/>
  <c r="H14" i="5"/>
  <c r="H13" i="5"/>
  <c r="H12" i="5"/>
  <c r="H10" i="5"/>
  <c r="H9" i="5"/>
  <c r="H7" i="5"/>
  <c r="C268" i="9" l="1"/>
  <c r="D268" i="9"/>
  <c r="C267" i="9"/>
  <c r="F9" i="9"/>
  <c r="F12" i="9" l="1"/>
  <c r="G7" i="11" l="1"/>
  <c r="E9" i="11"/>
  <c r="E8" i="11"/>
  <c r="E7" i="11"/>
  <c r="K12" i="3"/>
  <c r="G15" i="11" l="1"/>
  <c r="G14" i="11"/>
  <c r="G13" i="11"/>
  <c r="G12" i="11"/>
  <c r="G11" i="11"/>
  <c r="G10" i="11"/>
  <c r="G9" i="11"/>
  <c r="G8" i="11"/>
  <c r="G16" i="10"/>
  <c r="G8" i="10"/>
  <c r="E7" i="10"/>
  <c r="H201" i="9"/>
  <c r="H196" i="9"/>
  <c r="H195" i="9"/>
  <c r="H194" i="9"/>
  <c r="H188" i="9"/>
  <c r="H187" i="9"/>
  <c r="H186" i="9"/>
  <c r="H149" i="9"/>
  <c r="H129" i="9"/>
  <c r="H17" i="9"/>
  <c r="H27" i="9" l="1"/>
  <c r="H35" i="9"/>
  <c r="H59" i="9"/>
  <c r="H67" i="9"/>
  <c r="H83" i="9"/>
  <c r="H99" i="9"/>
  <c r="H107" i="9"/>
  <c r="H115" i="9"/>
  <c r="H135" i="9"/>
  <c r="H143" i="9"/>
  <c r="H192" i="9"/>
  <c r="H206" i="9"/>
  <c r="H214" i="9"/>
  <c r="H222" i="9"/>
  <c r="H230" i="9"/>
  <c r="H238" i="9"/>
  <c r="H130" i="9"/>
  <c r="H150" i="9"/>
  <c r="H11" i="9"/>
  <c r="H22" i="9"/>
  <c r="H30" i="9"/>
  <c r="H46" i="9"/>
  <c r="H54" i="9"/>
  <c r="H62" i="9"/>
  <c r="H78" i="9"/>
  <c r="H86" i="9"/>
  <c r="H118" i="9"/>
  <c r="H128" i="9"/>
  <c r="H146" i="9"/>
  <c r="H156" i="9"/>
  <c r="H164" i="9"/>
  <c r="H176" i="9"/>
  <c r="H198" i="9"/>
  <c r="H123" i="9"/>
  <c r="H199" i="9"/>
  <c r="H203" i="9"/>
  <c r="H124" i="9"/>
  <c r="H125" i="9"/>
  <c r="H161" i="9"/>
  <c r="H173" i="9"/>
  <c r="H181" i="9"/>
  <c r="H8" i="9"/>
  <c r="H20" i="9"/>
  <c r="H36" i="9"/>
  <c r="H44" i="9"/>
  <c r="H52" i="9"/>
  <c r="H60" i="9"/>
  <c r="H68" i="9"/>
  <c r="H76" i="9"/>
  <c r="H84" i="9"/>
  <c r="H92" i="9"/>
  <c r="H100" i="9"/>
  <c r="H108" i="9"/>
  <c r="H116" i="9"/>
  <c r="H126" i="9"/>
  <c r="H136" i="9"/>
  <c r="H144" i="9"/>
  <c r="H154" i="9"/>
  <c r="H162" i="9"/>
  <c r="H174" i="9"/>
  <c r="H182" i="9"/>
  <c r="H193" i="9"/>
  <c r="H207" i="9"/>
  <c r="H215" i="9"/>
  <c r="H223" i="9"/>
  <c r="H231" i="9"/>
  <c r="H239" i="9"/>
  <c r="H10" i="9"/>
  <c r="H21" i="9"/>
  <c r="H29" i="9"/>
  <c r="H37" i="9"/>
  <c r="H45" i="9"/>
  <c r="H53" i="9"/>
  <c r="H61" i="9"/>
  <c r="H69" i="9"/>
  <c r="H77" i="9"/>
  <c r="H85" i="9"/>
  <c r="H93" i="9"/>
  <c r="H101" i="9"/>
  <c r="H109" i="9"/>
  <c r="H127" i="9"/>
  <c r="H137" i="9"/>
  <c r="H145" i="9"/>
  <c r="H155" i="9"/>
  <c r="H163" i="9"/>
  <c r="H175" i="9"/>
  <c r="H183" i="9"/>
  <c r="H208" i="9"/>
  <c r="H216" i="9"/>
  <c r="H232" i="9"/>
  <c r="H233" i="9"/>
  <c r="H13" i="9"/>
  <c r="H23" i="9"/>
  <c r="H31" i="9"/>
  <c r="H39" i="9"/>
  <c r="H47" i="9"/>
  <c r="H55" i="9"/>
  <c r="H63" i="9"/>
  <c r="H71" i="9"/>
  <c r="H95" i="9"/>
  <c r="H103" i="9"/>
  <c r="H111" i="9"/>
  <c r="H119" i="9"/>
  <c r="H131" i="9"/>
  <c r="H139" i="9"/>
  <c r="H147" i="9"/>
  <c r="H177" i="9"/>
  <c r="H185" i="9"/>
  <c r="H200" i="9"/>
  <c r="H210" i="9"/>
  <c r="H218" i="9"/>
  <c r="H241" i="9"/>
  <c r="H14" i="9"/>
  <c r="H32" i="9"/>
  <c r="H40" i="9"/>
  <c r="H48" i="9"/>
  <c r="H64" i="9"/>
  <c r="H72" i="9"/>
  <c r="H80" i="9"/>
  <c r="H96" i="9"/>
  <c r="H104" i="9"/>
  <c r="H120" i="9"/>
  <c r="H132" i="9"/>
  <c r="H148" i="9"/>
  <c r="H158" i="9"/>
  <c r="H178" i="9"/>
  <c r="H189" i="9"/>
  <c r="H202" i="9"/>
  <c r="H211" i="9"/>
  <c r="H227" i="9"/>
  <c r="H235" i="9"/>
  <c r="H16" i="9"/>
  <c r="H25" i="9"/>
  <c r="H33" i="9"/>
  <c r="H41" i="9"/>
  <c r="H49" i="9"/>
  <c r="H57" i="9"/>
  <c r="H73" i="9"/>
  <c r="H81" i="9"/>
  <c r="H97" i="9"/>
  <c r="H105" i="9"/>
  <c r="H113" i="9"/>
  <c r="H121" i="9"/>
  <c r="H133" i="9"/>
  <c r="H141" i="9"/>
  <c r="H179" i="9"/>
  <c r="H190" i="9"/>
  <c r="H204" i="9"/>
  <c r="H212" i="9"/>
  <c r="H220" i="9"/>
  <c r="H228" i="9"/>
  <c r="H225" i="9"/>
  <c r="H18" i="9"/>
  <c r="H26" i="9"/>
  <c r="H34" i="9"/>
  <c r="H42" i="9"/>
  <c r="H50" i="9"/>
  <c r="H58" i="9"/>
  <c r="H66" i="9"/>
  <c r="H74" i="9"/>
  <c r="H82" i="9"/>
  <c r="H98" i="9"/>
  <c r="H106" i="9"/>
  <c r="H114" i="9"/>
  <c r="H122" i="9"/>
  <c r="H152" i="9"/>
  <c r="H160" i="9"/>
  <c r="H168" i="9"/>
  <c r="H180" i="9"/>
  <c r="H191" i="9"/>
  <c r="H205" i="9"/>
  <c r="H213" i="9"/>
  <c r="H221" i="9"/>
  <c r="H229" i="9"/>
  <c r="H237" i="9"/>
  <c r="J14" i="3"/>
  <c r="G14" i="3"/>
  <c r="G7" i="10"/>
  <c r="G15" i="10"/>
  <c r="G16" i="3"/>
  <c r="J16" i="3"/>
  <c r="G9" i="10"/>
  <c r="G17" i="10"/>
  <c r="G17" i="3"/>
  <c r="J17" i="3"/>
  <c r="G10" i="10"/>
  <c r="G8" i="3"/>
  <c r="J8" i="3"/>
  <c r="G18" i="3"/>
  <c r="J18" i="3"/>
  <c r="G11" i="10"/>
  <c r="G9" i="3"/>
  <c r="J9" i="3"/>
  <c r="G19" i="3"/>
  <c r="J19" i="3"/>
  <c r="G12" i="10"/>
  <c r="D23" i="3"/>
  <c r="J7" i="3"/>
  <c r="G7" i="3"/>
  <c r="G10" i="3"/>
  <c r="J10" i="3"/>
  <c r="G20" i="3"/>
  <c r="J20" i="3"/>
  <c r="G13" i="10"/>
  <c r="J11" i="3"/>
  <c r="G15" i="3"/>
  <c r="J15" i="3"/>
  <c r="J13" i="3"/>
  <c r="G13" i="3"/>
  <c r="J21" i="3"/>
  <c r="G21" i="3"/>
  <c r="G14" i="10"/>
  <c r="G11" i="3"/>
  <c r="H15" i="9"/>
  <c r="D12" i="9"/>
  <c r="H12" i="9" s="1"/>
  <c r="F268" i="9"/>
  <c r="J23" i="3" l="1"/>
  <c r="G23" i="3"/>
  <c r="D273" i="9"/>
  <c r="F273" i="9"/>
  <c r="F272" i="9"/>
  <c r="F274" i="9" l="1"/>
  <c r="F277" i="9" s="1"/>
  <c r="F279" i="9" s="1"/>
  <c r="D272" i="9"/>
  <c r="D274" i="9" s="1"/>
  <c r="D277" i="9" s="1"/>
  <c r="D279" i="9" s="1"/>
  <c r="H172" i="9"/>
  <c r="D9" i="9" l="1"/>
  <c r="H9" i="9" s="1"/>
  <c r="E273" i="9" l="1"/>
  <c r="E272" i="9"/>
  <c r="F171" i="9"/>
  <c r="D171" i="9"/>
  <c r="D6" i="9"/>
  <c r="E274" i="9" l="1"/>
  <c r="E277" i="9" s="1"/>
  <c r="E279" i="9" s="1"/>
  <c r="E267" i="9"/>
  <c r="E268" i="9"/>
  <c r="C272" i="9"/>
  <c r="H256" i="9" l="1"/>
  <c r="H257" i="9"/>
  <c r="H254" i="9"/>
  <c r="H255" i="9"/>
  <c r="H258" i="9"/>
  <c r="H259" i="9"/>
  <c r="H260" i="9"/>
  <c r="H262" i="9"/>
  <c r="B188" i="9"/>
  <c r="C329" i="14"/>
  <c r="C396" i="14"/>
  <c r="B255" i="9" s="1"/>
  <c r="C397" i="14"/>
  <c r="B256" i="9" s="1"/>
  <c r="C398" i="14"/>
  <c r="B257" i="9" s="1"/>
  <c r="C399" i="14"/>
  <c r="B258" i="9" s="1"/>
  <c r="C400" i="14"/>
  <c r="B259" i="9" s="1"/>
  <c r="C401" i="14"/>
  <c r="B260" i="9" s="1"/>
  <c r="C402" i="14"/>
  <c r="B261" i="9" s="1"/>
  <c r="C403" i="14"/>
  <c r="B262" i="9" s="1"/>
  <c r="C344" i="14"/>
  <c r="B203" i="9" s="1"/>
  <c r="C335" i="14"/>
  <c r="B194" i="9" s="1"/>
  <c r="C336" i="14"/>
  <c r="B195" i="9" s="1"/>
  <c r="C337" i="14"/>
  <c r="B196" i="9" s="1"/>
  <c r="C271" i="14"/>
  <c r="B129" i="9" s="1"/>
  <c r="C272" i="14"/>
  <c r="B130" i="9" s="1"/>
  <c r="C265" i="14"/>
  <c r="C266" i="14"/>
  <c r="B124" i="9" s="1"/>
  <c r="C147" i="14"/>
  <c r="B9" i="9" s="1"/>
  <c r="C424" i="14"/>
  <c r="B279" i="9" s="1"/>
  <c r="J4" i="11" l="1"/>
  <c r="J4" i="10"/>
  <c r="M4" i="3"/>
  <c r="D4" i="5" l="1"/>
  <c r="H261" i="9" l="1"/>
  <c r="F6" i="9" l="1"/>
  <c r="C171" i="9" l="1"/>
  <c r="E14" i="10" l="1"/>
  <c r="C359" i="14" l="1"/>
  <c r="B218" i="9" s="1"/>
  <c r="C85" i="14" l="1"/>
  <c r="B14" i="10" s="1"/>
  <c r="C54" i="14"/>
  <c r="H169" i="9"/>
  <c r="N13" i="3" l="1"/>
  <c r="H13" i="3" s="1"/>
  <c r="B10" i="3"/>
  <c r="K14" i="10"/>
  <c r="N21" i="3"/>
  <c r="H21" i="3" s="1"/>
  <c r="N9" i="3"/>
  <c r="H9" i="3" s="1"/>
  <c r="H14" i="10" l="1"/>
  <c r="N17" i="3"/>
  <c r="H17" i="3" s="1"/>
  <c r="N15" i="3"/>
  <c r="H15" i="3" s="1"/>
  <c r="N16" i="3"/>
  <c r="H16" i="3" s="1"/>
  <c r="N19" i="3"/>
  <c r="H19" i="3" s="1"/>
  <c r="N18" i="3"/>
  <c r="H18" i="3" s="1"/>
  <c r="N8" i="3"/>
  <c r="H8" i="3" s="1"/>
  <c r="N20" i="3"/>
  <c r="H20" i="3" s="1"/>
  <c r="N14" i="3"/>
  <c r="H14" i="3" s="1"/>
  <c r="H242" i="9"/>
  <c r="H246" i="9"/>
  <c r="H250" i="9"/>
  <c r="N7" i="3"/>
  <c r="H7" i="3" s="1"/>
  <c r="N10" i="3"/>
  <c r="H10" i="3" s="1"/>
  <c r="N11" i="3"/>
  <c r="H11" i="3" s="1"/>
  <c r="H245" i="9"/>
  <c r="H249" i="9"/>
  <c r="H253" i="9"/>
  <c r="H243" i="9"/>
  <c r="H247" i="9"/>
  <c r="H251" i="9"/>
  <c r="H252" i="9"/>
  <c r="K7" i="11" l="1"/>
  <c r="K8" i="11"/>
  <c r="K13" i="11" l="1"/>
  <c r="K9" i="11"/>
  <c r="K12" i="11"/>
  <c r="K14" i="11"/>
  <c r="K15" i="11"/>
  <c r="K10" i="11"/>
  <c r="K11" i="11"/>
  <c r="O10" i="3" l="1"/>
  <c r="K10" i="3" s="1"/>
  <c r="C120" i="14" l="1"/>
  <c r="H18" i="12" s="1"/>
  <c r="E22" i="12"/>
  <c r="E24" i="12"/>
  <c r="C129" i="14"/>
  <c r="B24" i="12" s="1"/>
  <c r="C127" i="14"/>
  <c r="C123" i="14"/>
  <c r="D118" i="14"/>
  <c r="C118" i="14" s="1"/>
  <c r="J16" i="12"/>
  <c r="F18" i="14"/>
  <c r="E18" i="14"/>
  <c r="D18" i="14"/>
  <c r="K18" i="12" l="1"/>
  <c r="K17" i="12"/>
  <c r="H17" i="12"/>
  <c r="E96" i="14" l="1"/>
  <c r="E92" i="14"/>
  <c r="F96" i="14"/>
  <c r="F92" i="14"/>
  <c r="D4" i="3" l="1"/>
  <c r="F73" i="14"/>
  <c r="E73" i="14"/>
  <c r="F69" i="14"/>
  <c r="E69" i="14"/>
  <c r="F43" i="14"/>
  <c r="E43" i="14"/>
  <c r="F37" i="14"/>
  <c r="E37" i="14"/>
  <c r="F26" i="14"/>
  <c r="E26" i="14"/>
  <c r="D26" i="14"/>
  <c r="C22" i="14" l="1"/>
  <c r="B15" i="13" s="1"/>
  <c r="C21" i="14"/>
  <c r="B12" i="13" s="1"/>
  <c r="C20" i="14" l="1"/>
  <c r="B14" i="13" s="1"/>
  <c r="C19" i="14"/>
  <c r="B11" i="13" s="1"/>
  <c r="O20" i="3" l="1"/>
  <c r="K20" i="3" s="1"/>
  <c r="O13" i="3"/>
  <c r="K13" i="3" s="1"/>
  <c r="O19" i="3"/>
  <c r="K19" i="3" s="1"/>
  <c r="O18" i="3"/>
  <c r="K18" i="3" s="1"/>
  <c r="O21" i="3"/>
  <c r="K21" i="3" s="1"/>
  <c r="O16" i="3"/>
  <c r="K16" i="3" s="1"/>
  <c r="O14" i="3"/>
  <c r="K14" i="3" s="1"/>
  <c r="O15" i="3"/>
  <c r="K15" i="3" s="1"/>
  <c r="O17" i="3"/>
  <c r="K17" i="3" s="1"/>
  <c r="C18" i="14"/>
  <c r="B1" i="13" s="1"/>
  <c r="C11" i="14"/>
  <c r="B1" i="5" s="1"/>
  <c r="C12" i="14"/>
  <c r="B1" i="3" s="1"/>
  <c r="C13" i="14"/>
  <c r="B1" i="10" s="1"/>
  <c r="C14" i="14"/>
  <c r="B1" i="9" s="1"/>
  <c r="C15" i="14"/>
  <c r="B1" i="11" s="1"/>
  <c r="C16" i="14"/>
  <c r="B1" i="12" s="1"/>
  <c r="C17" i="14"/>
  <c r="B13" i="12" s="1"/>
  <c r="C412" i="14" l="1"/>
  <c r="B267" i="9" s="1"/>
  <c r="C413" i="14"/>
  <c r="B268" i="9" s="1"/>
  <c r="C415" i="14"/>
  <c r="B270" i="9" s="1"/>
  <c r="C417" i="14"/>
  <c r="B272" i="9" s="1"/>
  <c r="C418" i="14"/>
  <c r="B273" i="9" s="1"/>
  <c r="C419" i="14"/>
  <c r="B274" i="9" s="1"/>
  <c r="C420" i="14"/>
  <c r="B275" i="9" s="1"/>
  <c r="C421" i="14"/>
  <c r="B276" i="9" s="1"/>
  <c r="C422" i="14"/>
  <c r="B277" i="9" s="1"/>
  <c r="E171" i="9" l="1"/>
  <c r="H171" i="9" s="1"/>
  <c r="F271" i="9"/>
  <c r="E271" i="9"/>
  <c r="D271" i="9"/>
  <c r="C271" i="9"/>
  <c r="C294" i="14" l="1"/>
  <c r="B152" i="9" s="1"/>
  <c r="C405" i="14"/>
  <c r="B264" i="9" s="1"/>
  <c r="C145" i="14"/>
  <c r="B7" i="9" s="1"/>
  <c r="C146" i="14"/>
  <c r="C148" i="14"/>
  <c r="B10" i="9" s="1"/>
  <c r="C149" i="14"/>
  <c r="B11" i="9" s="1"/>
  <c r="C150" i="14"/>
  <c r="B12" i="9" s="1"/>
  <c r="C151" i="14"/>
  <c r="B13" i="9" s="1"/>
  <c r="C152" i="14"/>
  <c r="B14" i="9" s="1"/>
  <c r="C153" i="14"/>
  <c r="B15" i="9" s="1"/>
  <c r="C154" i="14"/>
  <c r="B16" i="9" s="1"/>
  <c r="C155" i="14"/>
  <c r="B17" i="9" s="1"/>
  <c r="C156" i="14"/>
  <c r="B18" i="9" s="1"/>
  <c r="C158" i="14"/>
  <c r="B20" i="9" s="1"/>
  <c r="C159" i="14"/>
  <c r="B21" i="9" s="1"/>
  <c r="C160" i="14"/>
  <c r="B22" i="9" s="1"/>
  <c r="C161" i="14"/>
  <c r="B23" i="9" s="1"/>
  <c r="C163" i="14"/>
  <c r="B25" i="9" s="1"/>
  <c r="C164" i="14"/>
  <c r="B26" i="9" s="1"/>
  <c r="C165" i="14"/>
  <c r="B27" i="9" s="1"/>
  <c r="C167" i="14"/>
  <c r="B29" i="9" s="1"/>
  <c r="C168" i="14"/>
  <c r="B30" i="9" s="1"/>
  <c r="C169" i="14"/>
  <c r="B31" i="9" s="1"/>
  <c r="C170" i="14"/>
  <c r="B32" i="9" s="1"/>
  <c r="C171" i="14"/>
  <c r="B33" i="9" s="1"/>
  <c r="C172" i="14"/>
  <c r="B34" i="9" s="1"/>
  <c r="C173" i="14"/>
  <c r="B35" i="9" s="1"/>
  <c r="C174" i="14"/>
  <c r="B36" i="9" s="1"/>
  <c r="C175" i="14"/>
  <c r="B37" i="9" s="1"/>
  <c r="C177" i="14"/>
  <c r="B39" i="9" s="1"/>
  <c r="C178" i="14"/>
  <c r="B40" i="9" s="1"/>
  <c r="C179" i="14"/>
  <c r="B41" i="9" s="1"/>
  <c r="C180" i="14"/>
  <c r="B42" i="9" s="1"/>
  <c r="C182" i="14"/>
  <c r="B44" i="9" s="1"/>
  <c r="C183" i="14"/>
  <c r="B45" i="9" s="1"/>
  <c r="C184" i="14"/>
  <c r="B46" i="9" s="1"/>
  <c r="C185" i="14"/>
  <c r="B47" i="9" s="1"/>
  <c r="C186" i="14"/>
  <c r="B48" i="9" s="1"/>
  <c r="C187" i="14"/>
  <c r="B49" i="9" s="1"/>
  <c r="C188" i="14"/>
  <c r="B50" i="9" s="1"/>
  <c r="C190" i="14"/>
  <c r="B52" i="9" s="1"/>
  <c r="C191" i="14"/>
  <c r="B53" i="9" s="1"/>
  <c r="C192" i="14"/>
  <c r="B54" i="9" s="1"/>
  <c r="C193" i="14"/>
  <c r="B55" i="9" s="1"/>
  <c r="C195" i="14"/>
  <c r="B57" i="9" s="1"/>
  <c r="C196" i="14"/>
  <c r="B58" i="9" s="1"/>
  <c r="C197" i="14"/>
  <c r="B59" i="9" s="1"/>
  <c r="C198" i="14"/>
  <c r="B60" i="9" s="1"/>
  <c r="C199" i="14"/>
  <c r="B61" i="9" s="1"/>
  <c r="C200" i="14"/>
  <c r="B62" i="9" s="1"/>
  <c r="C201" i="14"/>
  <c r="B63" i="9" s="1"/>
  <c r="C202" i="14"/>
  <c r="B64" i="9" s="1"/>
  <c r="C204" i="14"/>
  <c r="B66" i="9" s="1"/>
  <c r="C205" i="14"/>
  <c r="B67" i="9" s="1"/>
  <c r="C206" i="14"/>
  <c r="B68" i="9" s="1"/>
  <c r="C207" i="14"/>
  <c r="B69" i="9" s="1"/>
  <c r="C209" i="14"/>
  <c r="B71" i="9" s="1"/>
  <c r="C210" i="14"/>
  <c r="B72" i="9" s="1"/>
  <c r="C211" i="14"/>
  <c r="B73" i="9" s="1"/>
  <c r="C212" i="14"/>
  <c r="B74" i="9" s="1"/>
  <c r="C214" i="14"/>
  <c r="B76" i="9" s="1"/>
  <c r="C215" i="14"/>
  <c r="B77" i="9" s="1"/>
  <c r="C216" i="14"/>
  <c r="B78" i="9" s="1"/>
  <c r="C218" i="14"/>
  <c r="B80" i="9" s="1"/>
  <c r="C219" i="14"/>
  <c r="B81" i="9" s="1"/>
  <c r="C220" i="14"/>
  <c r="B82" i="9" s="1"/>
  <c r="C221" i="14"/>
  <c r="B83" i="9" s="1"/>
  <c r="C222" i="14"/>
  <c r="B84" i="9" s="1"/>
  <c r="C223" i="14"/>
  <c r="B85" i="9" s="1"/>
  <c r="C224" i="14"/>
  <c r="B86" i="9" s="1"/>
  <c r="C226" i="14"/>
  <c r="C228" i="14"/>
  <c r="B88" i="9" s="1"/>
  <c r="C230" i="14"/>
  <c r="B90" i="9" s="1"/>
  <c r="C232" i="14"/>
  <c r="C233" i="14"/>
  <c r="C235" i="14"/>
  <c r="C236" i="14"/>
  <c r="C237" i="14"/>
  <c r="C238" i="14"/>
  <c r="C239" i="14"/>
  <c r="C240" i="14"/>
  <c r="C241" i="14"/>
  <c r="C243" i="14"/>
  <c r="C245" i="14"/>
  <c r="B103" i="9" s="1"/>
  <c r="C246" i="14"/>
  <c r="B104" i="9" s="1"/>
  <c r="C247" i="14"/>
  <c r="B105" i="9" s="1"/>
  <c r="C248" i="14"/>
  <c r="B106" i="9" s="1"/>
  <c r="C249" i="14"/>
  <c r="B107" i="9" s="1"/>
  <c r="C250" i="14"/>
  <c r="B108" i="9" s="1"/>
  <c r="C251" i="14"/>
  <c r="B109" i="9" s="1"/>
  <c r="C253" i="14"/>
  <c r="B111" i="9" s="1"/>
  <c r="C255" i="14"/>
  <c r="B113" i="9" s="1"/>
  <c r="C256" i="14"/>
  <c r="B114" i="9" s="1"/>
  <c r="C257" i="14"/>
  <c r="B115" i="9" s="1"/>
  <c r="C258" i="14"/>
  <c r="B116" i="9" s="1"/>
  <c r="C260" i="14"/>
  <c r="B118" i="9" s="1"/>
  <c r="C261" i="14"/>
  <c r="B119" i="9" s="1"/>
  <c r="C262" i="14"/>
  <c r="B120" i="9" s="1"/>
  <c r="C263" i="14"/>
  <c r="B121" i="9" s="1"/>
  <c r="C264" i="14"/>
  <c r="B122" i="9" s="1"/>
  <c r="C267" i="14"/>
  <c r="C268" i="14"/>
  <c r="B126" i="9" s="1"/>
  <c r="C269" i="14"/>
  <c r="B127" i="9" s="1"/>
  <c r="C270" i="14"/>
  <c r="B128" i="9" s="1"/>
  <c r="C273" i="14"/>
  <c r="B131" i="9" s="1"/>
  <c r="C274" i="14"/>
  <c r="B132" i="9" s="1"/>
  <c r="C275" i="14"/>
  <c r="B133" i="9" s="1"/>
  <c r="C277" i="14"/>
  <c r="C278" i="14"/>
  <c r="B136" i="9" s="1"/>
  <c r="C279" i="14"/>
  <c r="B137" i="9" s="1"/>
  <c r="C281" i="14"/>
  <c r="B139" i="9" s="1"/>
  <c r="C283" i="14"/>
  <c r="B141" i="9" s="1"/>
  <c r="C285" i="14"/>
  <c r="B143" i="9" s="1"/>
  <c r="C286" i="14"/>
  <c r="B144" i="9" s="1"/>
  <c r="C287" i="14"/>
  <c r="B145" i="9" s="1"/>
  <c r="C288" i="14"/>
  <c r="B146" i="9" s="1"/>
  <c r="C289" i="14"/>
  <c r="B147" i="9" s="1"/>
  <c r="C290" i="14"/>
  <c r="B148" i="9" s="1"/>
  <c r="C291" i="14"/>
  <c r="B149" i="9" s="1"/>
  <c r="C292" i="14"/>
  <c r="B150" i="9" s="1"/>
  <c r="C296" i="14"/>
  <c r="B154" i="9" s="1"/>
  <c r="C297" i="14"/>
  <c r="B155" i="9" s="1"/>
  <c r="C298" i="14"/>
  <c r="B156" i="9" s="1"/>
  <c r="C300" i="14"/>
  <c r="B158" i="9" s="1"/>
  <c r="C302" i="14"/>
  <c r="B160" i="9" s="1"/>
  <c r="C303" i="14"/>
  <c r="B161" i="9" s="1"/>
  <c r="C304" i="14"/>
  <c r="B162" i="9" s="1"/>
  <c r="C305" i="14"/>
  <c r="B163" i="9" s="1"/>
  <c r="C306" i="14"/>
  <c r="B164" i="9" s="1"/>
  <c r="C308" i="14"/>
  <c r="B166" i="9" s="1"/>
  <c r="C310" i="14"/>
  <c r="B168" i="9" s="1"/>
  <c r="C312" i="14"/>
  <c r="B171" i="9" s="1"/>
  <c r="C314" i="14"/>
  <c r="B173" i="9" s="1"/>
  <c r="C315" i="14"/>
  <c r="B174" i="9" s="1"/>
  <c r="C316" i="14"/>
  <c r="B175" i="9" s="1"/>
  <c r="C317" i="14"/>
  <c r="B176" i="9" s="1"/>
  <c r="C318" i="14"/>
  <c r="B177" i="9" s="1"/>
  <c r="C319" i="14"/>
  <c r="B178" i="9" s="1"/>
  <c r="C320" i="14"/>
  <c r="B179" i="9" s="1"/>
  <c r="C321" i="14"/>
  <c r="B180" i="9" s="1"/>
  <c r="C322" i="14"/>
  <c r="B181" i="9" s="1"/>
  <c r="C323" i="14"/>
  <c r="B182" i="9" s="1"/>
  <c r="C324" i="14"/>
  <c r="B183" i="9" s="1"/>
  <c r="C326" i="14"/>
  <c r="B185" i="9" s="1"/>
  <c r="C327" i="14"/>
  <c r="B186" i="9" s="1"/>
  <c r="C328" i="14"/>
  <c r="B187" i="9" s="1"/>
  <c r="C330" i="14"/>
  <c r="B189" i="9" s="1"/>
  <c r="C331" i="14"/>
  <c r="B190" i="9" s="1"/>
  <c r="C332" i="14"/>
  <c r="B191" i="9" s="1"/>
  <c r="C333" i="14"/>
  <c r="B192" i="9" s="1"/>
  <c r="C334" i="14"/>
  <c r="B193" i="9" s="1"/>
  <c r="C339" i="14"/>
  <c r="B198" i="9" s="1"/>
  <c r="C340" i="14"/>
  <c r="B199" i="9" s="1"/>
  <c r="C341" i="14"/>
  <c r="B200" i="9" s="1"/>
  <c r="C342" i="14"/>
  <c r="B201" i="9" s="1"/>
  <c r="C343" i="14"/>
  <c r="B202" i="9" s="1"/>
  <c r="C345" i="14"/>
  <c r="B204" i="9" s="1"/>
  <c r="C346" i="14"/>
  <c r="B205" i="9" s="1"/>
  <c r="C347" i="14"/>
  <c r="B206" i="9" s="1"/>
  <c r="C348" i="14"/>
  <c r="B207" i="9" s="1"/>
  <c r="C349" i="14"/>
  <c r="B208" i="9" s="1"/>
  <c r="C351" i="14"/>
  <c r="B210" i="9" s="1"/>
  <c r="C352" i="14"/>
  <c r="B211" i="9" s="1"/>
  <c r="C353" i="14"/>
  <c r="B212" i="9" s="1"/>
  <c r="C354" i="14"/>
  <c r="B213" i="9" s="1"/>
  <c r="C355" i="14"/>
  <c r="B214" i="9" s="1"/>
  <c r="C356" i="14"/>
  <c r="B215" i="9" s="1"/>
  <c r="C357" i="14"/>
  <c r="B216" i="9" s="1"/>
  <c r="C361" i="14"/>
  <c r="B220" i="9" s="1"/>
  <c r="C362" i="14"/>
  <c r="B221" i="9" s="1"/>
  <c r="C363" i="14"/>
  <c r="B222" i="9" s="1"/>
  <c r="C364" i="14"/>
  <c r="B223" i="9" s="1"/>
  <c r="C366" i="14"/>
  <c r="B225" i="9" s="1"/>
  <c r="C368" i="14"/>
  <c r="B227" i="9" s="1"/>
  <c r="C369" i="14"/>
  <c r="B228" i="9" s="1"/>
  <c r="C370" i="14"/>
  <c r="B229" i="9" s="1"/>
  <c r="C371" i="14"/>
  <c r="B230" i="9" s="1"/>
  <c r="C372" i="14"/>
  <c r="B231" i="9" s="1"/>
  <c r="C373" i="14"/>
  <c r="B232" i="9" s="1"/>
  <c r="C374" i="14"/>
  <c r="B233" i="9" s="1"/>
  <c r="C376" i="14"/>
  <c r="B235" i="9" s="1"/>
  <c r="C378" i="14"/>
  <c r="B237" i="9" s="1"/>
  <c r="C379" i="14"/>
  <c r="B238" i="9" s="1"/>
  <c r="C380" i="14"/>
  <c r="B239" i="9" s="1"/>
  <c r="C382" i="14"/>
  <c r="B241" i="9" s="1"/>
  <c r="C383" i="14"/>
  <c r="B242" i="9" s="1"/>
  <c r="C384" i="14"/>
  <c r="B243" i="9" s="1"/>
  <c r="C386" i="14"/>
  <c r="B245" i="9" s="1"/>
  <c r="C387" i="14"/>
  <c r="B246" i="9" s="1"/>
  <c r="C388" i="14"/>
  <c r="B247" i="9" s="1"/>
  <c r="C390" i="14"/>
  <c r="B249" i="9" s="1"/>
  <c r="C391" i="14"/>
  <c r="B250" i="9" s="1"/>
  <c r="C392" i="14"/>
  <c r="B251" i="9" s="1"/>
  <c r="C393" i="14"/>
  <c r="B252" i="9" s="1"/>
  <c r="C394" i="14"/>
  <c r="B253" i="9" s="1"/>
  <c r="C395" i="14"/>
  <c r="B254" i="9" s="1"/>
  <c r="C407" i="14"/>
  <c r="C409" i="14"/>
  <c r="C410" i="14"/>
  <c r="C139" i="14"/>
  <c r="C140" i="14"/>
  <c r="C141" i="14"/>
  <c r="C142" i="14"/>
  <c r="C143" i="14"/>
  <c r="C138" i="14"/>
  <c r="B6" i="9" s="1"/>
  <c r="C135" i="14"/>
  <c r="E5" i="9" s="1"/>
  <c r="C134" i="14"/>
  <c r="C5" i="9" s="1"/>
  <c r="E6" i="9"/>
  <c r="C6" i="9"/>
  <c r="B123" i="9" l="1"/>
  <c r="B125" i="9"/>
  <c r="B97" i="9"/>
  <c r="B93" i="9"/>
  <c r="B8" i="9"/>
  <c r="C170" i="9"/>
  <c r="B101" i="9"/>
  <c r="B92" i="9"/>
  <c r="B96" i="9"/>
  <c r="B100" i="9"/>
  <c r="B135" i="9"/>
  <c r="B99" i="9"/>
  <c r="B95" i="9"/>
  <c r="B98" i="9"/>
  <c r="C270" i="9"/>
  <c r="E270" i="9"/>
  <c r="E170" i="9"/>
  <c r="H170" i="9" l="1"/>
  <c r="G16" i="12"/>
  <c r="D16" i="12"/>
  <c r="F117" i="14"/>
  <c r="E117" i="14"/>
  <c r="D117" i="14"/>
  <c r="G4" i="12"/>
  <c r="D4" i="12"/>
  <c r="D4" i="11" l="1"/>
  <c r="D4" i="10"/>
  <c r="C6" i="14"/>
  <c r="C7" i="14"/>
  <c r="B8" i="13" s="1"/>
  <c r="C8" i="14"/>
  <c r="C9" i="14"/>
  <c r="C10" i="14"/>
  <c r="B6" i="13" s="1"/>
  <c r="C28" i="14"/>
  <c r="B7" i="5" s="1"/>
  <c r="C29" i="14"/>
  <c r="B9" i="5" s="1"/>
  <c r="C30" i="14"/>
  <c r="B10" i="5" s="1"/>
  <c r="C31" i="14"/>
  <c r="B12" i="5" s="1"/>
  <c r="C32" i="14"/>
  <c r="B13" i="5" s="1"/>
  <c r="C33" i="14"/>
  <c r="B14" i="5" s="1"/>
  <c r="C38" i="14"/>
  <c r="E5" i="3" s="1"/>
  <c r="C39" i="14"/>
  <c r="G5" i="3" s="1"/>
  <c r="C40" i="14"/>
  <c r="H5" i="3" s="1"/>
  <c r="C41" i="14"/>
  <c r="J5" i="3" s="1"/>
  <c r="C42" i="14"/>
  <c r="K5" i="3" s="1"/>
  <c r="C44" i="14"/>
  <c r="N5" i="3" s="1"/>
  <c r="C45" i="14"/>
  <c r="O5" i="3" s="1"/>
  <c r="C47" i="14"/>
  <c r="B5" i="3" s="1"/>
  <c r="C48" i="14"/>
  <c r="C49" i="14"/>
  <c r="C50" i="14"/>
  <c r="B23" i="3" s="1"/>
  <c r="C51" i="14"/>
  <c r="C52" i="14"/>
  <c r="B8" i="3" s="1"/>
  <c r="C53" i="14"/>
  <c r="B9" i="3" s="1"/>
  <c r="C55" i="14"/>
  <c r="B11" i="3" s="1"/>
  <c r="C56" i="14"/>
  <c r="B13" i="3" s="1"/>
  <c r="C57" i="14"/>
  <c r="B14" i="3" s="1"/>
  <c r="C58" i="14"/>
  <c r="B15" i="3" s="1"/>
  <c r="C59" i="14"/>
  <c r="B16" i="3" s="1"/>
  <c r="C60" i="14"/>
  <c r="B17" i="3" s="1"/>
  <c r="C61" i="14"/>
  <c r="B18" i="3" s="1"/>
  <c r="C62" i="14"/>
  <c r="B19" i="3" s="1"/>
  <c r="C63" i="14"/>
  <c r="B20" i="3" s="1"/>
  <c r="C64" i="14"/>
  <c r="B21" i="3" s="1"/>
  <c r="C65" i="14"/>
  <c r="C70" i="14"/>
  <c r="E5" i="10" s="1"/>
  <c r="C71" i="14"/>
  <c r="G5" i="10" s="1"/>
  <c r="C72" i="14"/>
  <c r="H5" i="10" s="1"/>
  <c r="C74" i="14"/>
  <c r="K5" i="10" s="1"/>
  <c r="C77" i="14"/>
  <c r="B5" i="10" s="1"/>
  <c r="C78" i="14"/>
  <c r="B7" i="10" s="1"/>
  <c r="C79" i="14"/>
  <c r="B8" i="10" s="1"/>
  <c r="C80" i="14"/>
  <c r="B9" i="10" s="1"/>
  <c r="C81" i="14"/>
  <c r="B11" i="10" s="1"/>
  <c r="C82" i="14"/>
  <c r="B10" i="10" s="1"/>
  <c r="C83" i="14"/>
  <c r="B12" i="10" s="1"/>
  <c r="C84" i="14"/>
  <c r="B13" i="10" s="1"/>
  <c r="C86" i="14"/>
  <c r="B15" i="10" s="1"/>
  <c r="C87" i="14"/>
  <c r="B16" i="10" s="1"/>
  <c r="C88" i="14"/>
  <c r="B17" i="10" s="1"/>
  <c r="C93" i="14"/>
  <c r="E5" i="11" s="1"/>
  <c r="C94" i="14"/>
  <c r="G5" i="11" s="1"/>
  <c r="C95" i="14"/>
  <c r="H5" i="11" s="1"/>
  <c r="C97" i="14"/>
  <c r="K5" i="11" s="1"/>
  <c r="C100" i="14"/>
  <c r="B5" i="11" s="1"/>
  <c r="C101" i="14"/>
  <c r="C102" i="14"/>
  <c r="B7" i="11" s="1"/>
  <c r="C103" i="14"/>
  <c r="B8" i="11" s="1"/>
  <c r="C104" i="14"/>
  <c r="B9" i="11" s="1"/>
  <c r="C105" i="14"/>
  <c r="B10" i="11" s="1"/>
  <c r="C106" i="14"/>
  <c r="B11" i="11" s="1"/>
  <c r="C107" i="14"/>
  <c r="B12" i="11" s="1"/>
  <c r="C108" i="14"/>
  <c r="B13" i="11" s="1"/>
  <c r="C109" i="14"/>
  <c r="B14" i="11" s="1"/>
  <c r="C110" i="14"/>
  <c r="B15" i="11" s="1"/>
  <c r="C111" i="14"/>
  <c r="C116" i="14"/>
  <c r="C117" i="14"/>
  <c r="C119" i="14"/>
  <c r="C124" i="14"/>
  <c r="B9" i="12" s="1"/>
  <c r="C125" i="14"/>
  <c r="C126" i="14"/>
  <c r="B22" i="12"/>
  <c r="C128" i="14"/>
  <c r="B23" i="12" s="1"/>
  <c r="L4" i="5"/>
  <c r="J4" i="5"/>
  <c r="H4" i="5"/>
  <c r="F4" i="5"/>
  <c r="D73" i="14"/>
  <c r="F115" i="14"/>
  <c r="E115" i="14"/>
  <c r="D115" i="14"/>
  <c r="D96" i="14"/>
  <c r="D92" i="14"/>
  <c r="D69" i="14"/>
  <c r="D43" i="14"/>
  <c r="D37" i="14"/>
  <c r="B7" i="3" l="1"/>
  <c r="B7" i="12"/>
  <c r="J18" i="12"/>
  <c r="G18" i="12"/>
  <c r="D18" i="12"/>
  <c r="J17" i="12"/>
  <c r="G17" i="12"/>
  <c r="B20" i="12"/>
  <c r="G5" i="12"/>
  <c r="E17" i="12"/>
  <c r="E5" i="12"/>
  <c r="C26" i="14"/>
  <c r="C92" i="14"/>
  <c r="D5" i="11" s="1"/>
  <c r="C69" i="14"/>
  <c r="D5" i="10" s="1"/>
  <c r="C73" i="14"/>
  <c r="J5" i="10" s="1"/>
  <c r="C43" i="14"/>
  <c r="M5" i="3" s="1"/>
  <c r="C115" i="14"/>
  <c r="C37" i="14"/>
  <c r="D5" i="3" s="1"/>
  <c r="C96" i="14"/>
  <c r="J5" i="11" s="1"/>
  <c r="D17" i="12" l="1"/>
  <c r="D5" i="12"/>
  <c r="L5" i="5"/>
  <c r="D5" i="5"/>
  <c r="J5" i="5"/>
  <c r="H5" i="5"/>
  <c r="F5" i="5"/>
  <c r="E20" i="12" l="1"/>
  <c r="E7" i="12"/>
  <c r="E15" i="11"/>
  <c r="H6" i="11"/>
  <c r="E6" i="11"/>
  <c r="E16" i="10"/>
  <c r="K8" i="10"/>
  <c r="H12" i="3"/>
  <c r="K6" i="3"/>
  <c r="H6" i="3"/>
  <c r="E12" i="3"/>
  <c r="E6" i="3"/>
  <c r="K10" i="10" l="1"/>
  <c r="K15" i="10"/>
  <c r="K11" i="10"/>
  <c r="K12" i="10"/>
  <c r="E11" i="10"/>
  <c r="K9" i="10"/>
  <c r="E13" i="10"/>
  <c r="E15" i="10"/>
  <c r="E11" i="11"/>
  <c r="E14" i="11"/>
  <c r="E10" i="11"/>
  <c r="E12" i="11"/>
  <c r="E13" i="11"/>
  <c r="E9" i="10"/>
  <c r="E10" i="10"/>
  <c r="K13" i="10"/>
  <c r="E12" i="10"/>
  <c r="E17" i="10"/>
  <c r="K7" i="10"/>
  <c r="K17" i="10"/>
  <c r="H8" i="10"/>
  <c r="E8" i="10"/>
  <c r="K16" i="10"/>
  <c r="E13" i="3"/>
  <c r="E21" i="3"/>
  <c r="E20" i="3"/>
  <c r="E19" i="3"/>
  <c r="E18" i="3"/>
  <c r="E17" i="3"/>
  <c r="E16" i="3"/>
  <c r="E15" i="3"/>
  <c r="E14" i="3"/>
  <c r="H11" i="10" l="1"/>
  <c r="H16" i="10"/>
  <c r="H7" i="11"/>
  <c r="H15" i="10"/>
  <c r="H9" i="10"/>
  <c r="H10" i="10"/>
  <c r="O8" i="3"/>
  <c r="K8" i="3" s="1"/>
  <c r="E8" i="3"/>
  <c r="O7" i="3"/>
  <c r="K7" i="3" s="1"/>
  <c r="E7" i="3"/>
  <c r="E9" i="3"/>
  <c r="O9" i="3"/>
  <c r="K9" i="3" s="1"/>
  <c r="E11" i="3"/>
  <c r="O11" i="3"/>
  <c r="K11" i="3" s="1"/>
  <c r="M23" i="3"/>
  <c r="N23" i="3" s="1"/>
  <c r="H23" i="3" s="1"/>
  <c r="H12" i="10"/>
  <c r="H13" i="10"/>
  <c r="H7" i="10"/>
  <c r="H10" i="11"/>
  <c r="H17" i="10"/>
  <c r="H15" i="11" l="1"/>
  <c r="H11" i="11"/>
  <c r="H8" i="11"/>
  <c r="H14" i="11"/>
  <c r="H12" i="11"/>
  <c r="E23" i="3"/>
  <c r="O23" i="3"/>
  <c r="K23" i="3" s="1"/>
  <c r="H9" i="11"/>
  <c r="H13" i="11"/>
  <c r="C273" i="9" l="1"/>
  <c r="H264" i="9"/>
  <c r="C274" i="9" l="1"/>
  <c r="C277" i="9" s="1"/>
  <c r="C279" i="9" s="1"/>
</calcChain>
</file>

<file path=xl/sharedStrings.xml><?xml version="1.0" encoding="utf-8"?>
<sst xmlns="http://schemas.openxmlformats.org/spreadsheetml/2006/main" count="1398" uniqueCount="1164">
  <si>
    <t>Sprache auswählen; Choisir la langue; Select language</t>
  </si>
  <si>
    <t>EN</t>
  </si>
  <si>
    <t>2.1_1</t>
  </si>
  <si>
    <t>2.1_2</t>
  </si>
  <si>
    <t>Filter</t>
  </si>
  <si>
    <t>Yes</t>
  </si>
  <si>
    <t>n/a</t>
  </si>
  <si>
    <t>Glossary Deutsch - Français - English</t>
  </si>
  <si>
    <t>Identifier</t>
  </si>
  <si>
    <t>Selected language</t>
  </si>
  <si>
    <t>German</t>
  </si>
  <si>
    <t>French</t>
  </si>
  <si>
    <t>English</t>
  </si>
  <si>
    <t>Deutsch</t>
  </si>
  <si>
    <t>Français</t>
  </si>
  <si>
    <t>T0.1</t>
  </si>
  <si>
    <t>SST-Währung</t>
  </si>
  <si>
    <t>Monnaie du SST</t>
  </si>
  <si>
    <t>SST currency</t>
  </si>
  <si>
    <t>T0.2</t>
  </si>
  <si>
    <t>Sprache</t>
  </si>
  <si>
    <t>Langue</t>
  </si>
  <si>
    <t>Language</t>
  </si>
  <si>
    <t>T0.3</t>
  </si>
  <si>
    <t>DE</t>
  </si>
  <si>
    <t>FR</t>
  </si>
  <si>
    <t>T0.4</t>
  </si>
  <si>
    <t>SST-Jahr</t>
  </si>
  <si>
    <t>Année SST</t>
  </si>
  <si>
    <t>SST year</t>
  </si>
  <si>
    <t>T0.5</t>
  </si>
  <si>
    <t>SST-Kennzahlen der letzten fünf Jahre</t>
  </si>
  <si>
    <t>principaux indicateurs SST sur les cinq dernières années</t>
  </si>
  <si>
    <t>Changes in SST key figures for the last five years</t>
  </si>
  <si>
    <t>T0.6</t>
  </si>
  <si>
    <t>Komponenten des SST-Quotienten</t>
  </si>
  <si>
    <t>Composantes du quotient SST</t>
  </si>
  <si>
    <t>Components of the SST ratio</t>
  </si>
  <si>
    <t>T0.7</t>
  </si>
  <si>
    <t>Übersicht RTK</t>
  </si>
  <si>
    <t>Le CPR et ses composantes</t>
  </si>
  <si>
    <t>RBC and its components</t>
  </si>
  <si>
    <t>T0.8</t>
  </si>
  <si>
    <t xml:space="preserve">Überleitung aus der geprüften Bilanz </t>
  </si>
  <si>
    <t>Ajustement par rapport au bilan audité</t>
  </si>
  <si>
    <t>Reconciliation with the audited balance sheet</t>
  </si>
  <si>
    <t>T0.9</t>
  </si>
  <si>
    <t>Übersicht - Zielkapital</t>
  </si>
  <si>
    <t>Vue d’ensemble - Capital cible</t>
  </si>
  <si>
    <t>Overview - Target capital</t>
  </si>
  <si>
    <t>T0.10</t>
  </si>
  <si>
    <t xml:space="preserve">Erwartetes finanzielles Ergebnis über risikofreier Verzinsung </t>
  </si>
  <si>
    <t>Résultat financier attendu au-dessus du taux sans risque</t>
  </si>
  <si>
    <t>Expected financial result above risk-free interest rate</t>
  </si>
  <si>
    <t>T0.11</t>
  </si>
  <si>
    <t>Erwartetes vers. Ergebnis</t>
  </si>
  <si>
    <t>Résultat d’assurance attendu</t>
  </si>
  <si>
    <t>Expected insurance result</t>
  </si>
  <si>
    <t>T0.12</t>
  </si>
  <si>
    <t>T0.13</t>
  </si>
  <si>
    <t>Bemerkungen</t>
  </si>
  <si>
    <t>Remarques</t>
  </si>
  <si>
    <t>Comments</t>
  </si>
  <si>
    <t>T0.14</t>
  </si>
  <si>
    <t>Bitte führen Sie folgenden Schritt durch, um Ihre Daten in die SST-Berichtstabellen zu laden :</t>
  </si>
  <si>
    <t>Veuillez effectuer l'étape suivante pour charger vos données dans les tableaux du rapport SST :</t>
  </si>
  <si>
    <t>Please perform the following step to load your data into the SST report tables :</t>
  </si>
  <si>
    <t>T0.15</t>
  </si>
  <si>
    <t>Das vorliegende Excel-Sheet ist als Hilfsmittel gedacht, um die in der (Opt-In)-Vorlage für den SST-Bericht für Gesellschaften der Kategorie 4 und 5 verlangten Tabellen erstellen zu können.</t>
  </si>
  <si>
    <t>Cette feuille Excel est destinée à servir d'outil pour créer les tableaux requis dans le modèle (opt-in) du rapport SST pour les entreprises des catégories 4 et 5.</t>
  </si>
  <si>
    <t>This Excel sheet is intended as an auxiliary tool for creating the tables required in the (opt-in) template for the SST report for category 4 and 5 companies.</t>
  </si>
  <si>
    <t>T0.16</t>
  </si>
  <si>
    <t>&gt; Daten &gt; Bearbeiten von Links</t>
  </si>
  <si>
    <t>&gt; Requêtes &gt; Modifier les liens</t>
  </si>
  <si>
    <t>&gt; Data &gt; Edit Links</t>
  </si>
  <si>
    <t>2.1 SST-Kennzahlen 5 Jahre</t>
  </si>
  <si>
    <t>Columns</t>
  </si>
  <si>
    <t>T1.c.1</t>
  </si>
  <si>
    <t>Rows</t>
  </si>
  <si>
    <t>T1.r.1</t>
  </si>
  <si>
    <t>SST-Quotient</t>
  </si>
  <si>
    <t>Quotient SST</t>
  </si>
  <si>
    <t>SST ratio</t>
  </si>
  <si>
    <t>T1.r.2</t>
  </si>
  <si>
    <t>Risikotragendes Kapital (RTK)</t>
  </si>
  <si>
    <t>Capital porteur de risque (CPR)</t>
  </si>
  <si>
    <t>Risk-bearing capital (RBC)</t>
  </si>
  <si>
    <t>T1.r.3</t>
  </si>
  <si>
    <t>Mindestbetrag (MVM)</t>
  </si>
  <si>
    <t>Montant minimum (MVM)</t>
  </si>
  <si>
    <t>Market value margin (MVM)</t>
  </si>
  <si>
    <t>T1.r.4</t>
  </si>
  <si>
    <t>Zielkapital (ZK)</t>
  </si>
  <si>
    <t>Capital cible (CC)</t>
  </si>
  <si>
    <t>Target capital (TC)</t>
  </si>
  <si>
    <t>T1.r.5</t>
  </si>
  <si>
    <t>Erwartetes finanzielles Ergebnis über risikofrei</t>
  </si>
  <si>
    <t>Expected financial result above risk-free</t>
  </si>
  <si>
    <t>T1.r.6</t>
  </si>
  <si>
    <t>Erwartetes versicherungstechnisches Ergebnis</t>
  </si>
  <si>
    <t>2.1 Komponenten SST-Quotient</t>
  </si>
  <si>
    <t>T2.c.1</t>
  </si>
  <si>
    <t>T2.c.2</t>
  </si>
  <si>
    <t>Rel. Diff. Vorjahr</t>
  </si>
  <si>
    <t>Diff. rel. année préc.</t>
  </si>
  <si>
    <t>Rel. diff. prev. year</t>
  </si>
  <si>
    <t>T2.c.3</t>
  </si>
  <si>
    <t>Anteil ZK</t>
  </si>
  <si>
    <t>Part CC</t>
  </si>
  <si>
    <t>Share TC</t>
  </si>
  <si>
    <t>T2.c.4</t>
  </si>
  <si>
    <t>T2.c.5</t>
  </si>
  <si>
    <t>Anteil Bilanz- summe SST-Bilanz</t>
  </si>
  <si>
    <t>Part somme du bilan SST</t>
  </si>
  <si>
    <t>Share total assets SST BS</t>
  </si>
  <si>
    <t>T2.c.6</t>
  </si>
  <si>
    <t>T2.c.7</t>
  </si>
  <si>
    <t>T2.c.8</t>
  </si>
  <si>
    <t>T2.c.9</t>
  </si>
  <si>
    <t>T2.r.1</t>
  </si>
  <si>
    <t xml:space="preserve">Vorzeichenkonvention:
RTK = Aktiven -  Verbindlichkeiten + (Abzüge und RAK) ;
ZK = Summe der Komponenten;
</t>
  </si>
  <si>
    <t>Convention de signes: 
CPR = actifs - engagements + (déductions et RAK);
CC = somme des composantes;</t>
  </si>
  <si>
    <t>T2.r.2</t>
  </si>
  <si>
    <t>RTK minus MVM</t>
  </si>
  <si>
    <t>CPR moins MVM</t>
  </si>
  <si>
    <t>RBC minus MVM</t>
  </si>
  <si>
    <t>T2.r.3</t>
  </si>
  <si>
    <t>Einjahresrisikokapital (SCR)</t>
  </si>
  <si>
    <t>Capital risque sur un an (SCR)</t>
  </si>
  <si>
    <t>One-year risk capital (SCR)</t>
  </si>
  <si>
    <t>T2.r.4</t>
  </si>
  <si>
    <t>Überschuss (RTK minus ZK)</t>
  </si>
  <si>
    <t>Excédents (CPR moins CC)</t>
  </si>
  <si>
    <t>Surplus (RBC minus TC)</t>
  </si>
  <si>
    <t>T2.r.5</t>
  </si>
  <si>
    <t>T2.r.6</t>
  </si>
  <si>
    <t>Marktkonformer Wert der Aktiven</t>
  </si>
  <si>
    <t xml:space="preserve"> Valeur conforme au marché des actifs</t>
  </si>
  <si>
    <t xml:space="preserve"> Market conform value of assets</t>
  </si>
  <si>
    <t>T2.r.7</t>
  </si>
  <si>
    <t>Verbindlichkeiten</t>
  </si>
  <si>
    <t xml:space="preserve"> Engagements</t>
  </si>
  <si>
    <t xml:space="preserve"> Total liabilities</t>
  </si>
  <si>
    <t>T2.r.8</t>
  </si>
  <si>
    <t xml:space="preserve"> davon Mindestbetrag (MVM)</t>
  </si>
  <si>
    <t xml:space="preserve"> dont montant minimum (MVM)</t>
  </si>
  <si>
    <t xml:space="preserve"> of which Market Value Margin (MVM)</t>
  </si>
  <si>
    <t>T2.r.9</t>
  </si>
  <si>
    <t>Déductions et instruments de capital amortisseurs de risque (RAK)</t>
  </si>
  <si>
    <t>T2.r.10</t>
  </si>
  <si>
    <t>T2.r.11</t>
  </si>
  <si>
    <t xml:space="preserve"> Marktrisiko</t>
  </si>
  <si>
    <t xml:space="preserve"> Risques de marché</t>
  </si>
  <si>
    <t xml:space="preserve"> Market risk</t>
  </si>
  <si>
    <t>T2.r.12</t>
  </si>
  <si>
    <t xml:space="preserve"> Kreditrisiko</t>
  </si>
  <si>
    <t xml:space="preserve"> Risques de crédit</t>
  </si>
  <si>
    <t xml:space="preserve"> Credit risk</t>
  </si>
  <si>
    <t>T2.r.13</t>
  </si>
  <si>
    <t xml:space="preserve"> Versicherungsrisiko</t>
  </si>
  <si>
    <t xml:space="preserve"> Risques d’assurance</t>
  </si>
  <si>
    <t xml:space="preserve"> Insurance risk</t>
  </si>
  <si>
    <t>T2.r.14</t>
  </si>
  <si>
    <t xml:space="preserve"> Diversifikationseffekt</t>
  </si>
  <si>
    <t xml:space="preserve"> Effet de diversification</t>
  </si>
  <si>
    <t xml:space="preserve"> Diversification effect</t>
  </si>
  <si>
    <t>T2.r.15</t>
  </si>
  <si>
    <t xml:space="preserve"> Negative des erwarteteten finanz. Ergebnisses </t>
  </si>
  <si>
    <t xml:space="preserve"> Négatif du résultat financier attendu </t>
  </si>
  <si>
    <t xml:space="preserve"> Negative of expected financial result </t>
  </si>
  <si>
    <t>T2.r.16</t>
  </si>
  <si>
    <t xml:space="preserve"> Negative des erwarteteten vers. Ergebnisses</t>
  </si>
  <si>
    <t xml:space="preserve"> Négatif du résultat d’assurance attendu</t>
  </si>
  <si>
    <t xml:space="preserve"> Negative of expected insurance result</t>
  </si>
  <si>
    <t>T2.r.17</t>
  </si>
  <si>
    <t xml:space="preserve"> Szenarieneffekt</t>
  </si>
  <si>
    <t xml:space="preserve"> Effet des scénarios</t>
  </si>
  <si>
    <t xml:space="preserve"> Scenarios effect</t>
  </si>
  <si>
    <t>T2.r.18</t>
  </si>
  <si>
    <t xml:space="preserve"> Zusätzliche Effekte</t>
  </si>
  <si>
    <t xml:space="preserve"> Effets supplémentaires</t>
  </si>
  <si>
    <t xml:space="preserve"> Additional effects</t>
  </si>
  <si>
    <t>T2.r.19</t>
  </si>
  <si>
    <t xml:space="preserve"> Mindestbetrag (MVM)</t>
  </si>
  <si>
    <t xml:space="preserve"> Montant minimum (MVM)</t>
  </si>
  <si>
    <t xml:space="preserve"> Market value margin (MVM)</t>
  </si>
  <si>
    <t>5.1 Übersicht RTK</t>
  </si>
  <si>
    <t>T3.c.1</t>
  </si>
  <si>
    <t>T3.c.2</t>
  </si>
  <si>
    <t>T3.c.3</t>
  </si>
  <si>
    <t>T3.c.4</t>
  </si>
  <si>
    <t>T3.c.5</t>
  </si>
  <si>
    <t>T3.c.6</t>
  </si>
  <si>
    <t>T3.r.1</t>
  </si>
  <si>
    <t>Vorzeichenkonvention:  
RTK = Aktiven - Verbindlichkeiten + Abzüge + RAK</t>
  </si>
  <si>
    <t xml:space="preserve">Convention de signes: 
CPR = actifs -  engagements + déductions + RAK
</t>
  </si>
  <si>
    <t>Sign convention: 
RBC = assets - liabilities + deductions + RAK</t>
  </si>
  <si>
    <t>T3.r.2</t>
  </si>
  <si>
    <t>T3.r.3</t>
  </si>
  <si>
    <t>Marktkonformer Wert Aktiven</t>
  </si>
  <si>
    <t xml:space="preserve">  Valeur conforme au marché des actifs </t>
  </si>
  <si>
    <t>T3.r.4</t>
  </si>
  <si>
    <t xml:space="preserve">    Kapitalanlagen</t>
  </si>
  <si>
    <t xml:space="preserve">    Placements de capitaux</t>
  </si>
  <si>
    <t xml:space="preserve">    Investments</t>
  </si>
  <si>
    <t>T3.r.5</t>
  </si>
  <si>
    <t xml:space="preserve">    davon Anteil versicherungstechnische Rückstellungen aus Rückversicherung</t>
  </si>
  <si>
    <t xml:space="preserve">    dont part des réassureurs dans les provisions techniques</t>
  </si>
  <si>
    <t xml:space="preserve">    of which share of technical provisions from reinsurance</t>
  </si>
  <si>
    <t>T3.r.6</t>
  </si>
  <si>
    <t xml:space="preserve">    Übrige Aktiven</t>
  </si>
  <si>
    <t xml:space="preserve">    Autres actifs</t>
  </si>
  <si>
    <t xml:space="preserve">    Other assets</t>
  </si>
  <si>
    <t>T3.r.7</t>
  </si>
  <si>
    <t>Engagements</t>
  </si>
  <si>
    <t>Total liabilities</t>
  </si>
  <si>
    <t>T3.r.8</t>
  </si>
  <si>
    <t xml:space="preserve">    Best Estimate der Versicherungsverpflichtungen</t>
  </si>
  <si>
    <t xml:space="preserve">    Best estimate des engagements d'assurance</t>
  </si>
  <si>
    <t xml:space="preserve">    Best estimate of insurance liabilities</t>
  </si>
  <si>
    <t>T3.r.9</t>
  </si>
  <si>
    <t xml:space="preserve">    Mindestbetrag (MVM)</t>
  </si>
  <si>
    <t xml:space="preserve">    Montant minimum (MVM)</t>
  </si>
  <si>
    <t xml:space="preserve">    Market value margin (MVM)</t>
  </si>
  <si>
    <t>T3.r.10</t>
  </si>
  <si>
    <t xml:space="preserve">    Marktkonformer Wert der übrigen Verbindlichkeiten</t>
  </si>
  <si>
    <t xml:space="preserve">    Valeur conforme au marché des autres engagements</t>
  </si>
  <si>
    <t xml:space="preserve">    Market conform value of other liabilities</t>
  </si>
  <si>
    <t>T3.r.11</t>
  </si>
  <si>
    <t>Abzüge</t>
  </si>
  <si>
    <t>Déductions</t>
  </si>
  <si>
    <t>Deductions</t>
  </si>
  <si>
    <t>T3.r.12</t>
  </si>
  <si>
    <t>RAK (im RTK angerechnet)</t>
  </si>
  <si>
    <t>RAK (imputés au CPR)</t>
  </si>
  <si>
    <t>RAK (accounted for as RBC)</t>
  </si>
  <si>
    <t>6.1 Übersicht ZK</t>
  </si>
  <si>
    <t>T4.c.1</t>
  </si>
  <si>
    <t>T4.c.2</t>
  </si>
  <si>
    <t>Diff rel. année préc.</t>
  </si>
  <si>
    <t>T4.c.3</t>
  </si>
  <si>
    <t>T4.c.4</t>
  </si>
  <si>
    <t>T4.c.5</t>
  </si>
  <si>
    <t>T4.c.6</t>
  </si>
  <si>
    <t>T4.r.1</t>
  </si>
  <si>
    <t>Vorzeichenkonvention:
ZK = Summe der Komponente;</t>
  </si>
  <si>
    <t xml:space="preserve">Convention de signes: 
CC = somme des composantes
</t>
  </si>
  <si>
    <t xml:space="preserve">Sign convention: 
TC = sum of components.
</t>
  </si>
  <si>
    <t>T4.r.2</t>
  </si>
  <si>
    <t>T4.r.3</t>
  </si>
  <si>
    <t>T4.r.4</t>
  </si>
  <si>
    <t>T4.r.5</t>
  </si>
  <si>
    <t>T4.r.6</t>
  </si>
  <si>
    <t>T4.r.7</t>
  </si>
  <si>
    <t>T4.r.8</t>
  </si>
  <si>
    <t>T4.r.9</t>
  </si>
  <si>
    <t>T4.r.10</t>
  </si>
  <si>
    <t>T4.r.11</t>
  </si>
  <si>
    <t>T4.r.12</t>
  </si>
  <si>
    <t>6.6 u 6.7 Erw. Erg</t>
  </si>
  <si>
    <t>T5.c.1</t>
  </si>
  <si>
    <t>T5.c.2</t>
  </si>
  <si>
    <t>Rel. Diff.</t>
  </si>
  <si>
    <t>Diff rel.</t>
  </si>
  <si>
    <t xml:space="preserve">Rel. diff. </t>
  </si>
  <si>
    <t>T5.c.3</t>
  </si>
  <si>
    <t>T5.c.4</t>
  </si>
  <si>
    <t>Etat au 31.12.</t>
  </si>
  <si>
    <t>As of 31.12.</t>
  </si>
  <si>
    <t>T5.c.5</t>
  </si>
  <si>
    <t>Erwartet</t>
  </si>
  <si>
    <t>Attendu</t>
  </si>
  <si>
    <t>Expected</t>
  </si>
  <si>
    <t>T5.c.6</t>
  </si>
  <si>
    <t>Neuschätzung</t>
  </si>
  <si>
    <t>Nouvelle estimation</t>
  </si>
  <si>
    <t>Re-estimate</t>
  </si>
  <si>
    <t>T5.r.1</t>
  </si>
  <si>
    <t>T5.r.2</t>
  </si>
  <si>
    <t>Tatsächlich erreicht (Ex post-Betrachtung)</t>
  </si>
  <si>
    <r>
      <t xml:space="preserve">Effectif (observation </t>
    </r>
    <r>
      <rPr>
        <i/>
        <sz val="9"/>
        <color rgb="FF000000"/>
        <rFont val="Arial"/>
        <family val="2"/>
      </rPr>
      <t>ex post</t>
    </r>
    <r>
      <rPr>
        <sz val="9"/>
        <color rgb="FF000000"/>
        <rFont val="Arial"/>
        <family val="2"/>
      </rPr>
      <t>)</t>
    </r>
  </si>
  <si>
    <t>Actual (ex-post)</t>
  </si>
  <si>
    <t>T5.r.3</t>
  </si>
  <si>
    <t>T5.r.4</t>
  </si>
  <si>
    <t>vt Ergebnis diskontiert</t>
  </si>
  <si>
    <t>Résultat d'assuance actualisé</t>
  </si>
  <si>
    <t>discounted insurance result</t>
  </si>
  <si>
    <t>T5.r.5</t>
  </si>
  <si>
    <t>vt Ergebnis nicht diskontiert</t>
  </si>
  <si>
    <t>Résultat d'assurance non actualisé</t>
  </si>
  <si>
    <t>undiscounted insurance result</t>
  </si>
  <si>
    <t>T5.r.6</t>
  </si>
  <si>
    <t xml:space="preserve">  davon Abwicklungsergebnis Rückstellungen</t>
  </si>
  <si>
    <t xml:space="preserve">  dont résultat de liquidation des provisions </t>
  </si>
  <si>
    <t xml:space="preserve"> of which run-off result of provisions</t>
  </si>
  <si>
    <t>T5.r.7</t>
  </si>
  <si>
    <t xml:space="preserve">  davon Neugeschäft nicht diskontiert</t>
  </si>
  <si>
    <t xml:space="preserve">  dont affaires nouvells non actualisé</t>
  </si>
  <si>
    <t xml:space="preserve"> of which undiscounted new business</t>
  </si>
  <si>
    <t>5.4 Bilanz-Überleitung</t>
  </si>
  <si>
    <t>T6.c.1</t>
  </si>
  <si>
    <t>Statutarische Bilanz</t>
  </si>
  <si>
    <t>Bilan statutaire</t>
  </si>
  <si>
    <t>T6.c.2</t>
  </si>
  <si>
    <t>SST-Bilanz</t>
  </si>
  <si>
    <t>Bilan SST</t>
  </si>
  <si>
    <t>T6.r.1</t>
  </si>
  <si>
    <t>Aktiven</t>
  </si>
  <si>
    <t>Actives</t>
  </si>
  <si>
    <t>Assets</t>
  </si>
  <si>
    <t>T6.r.2</t>
  </si>
  <si>
    <t>Staffelrechnung</t>
  </si>
  <si>
    <t>Calcul échelonné</t>
  </si>
  <si>
    <t>Equated account</t>
  </si>
  <si>
    <t>T6.r.3</t>
  </si>
  <si>
    <t>Kontonummer</t>
  </si>
  <si>
    <t>Numéro de compte</t>
  </si>
  <si>
    <t>Account number</t>
  </si>
  <si>
    <t>T6.r.4</t>
  </si>
  <si>
    <t xml:space="preserve">Marktkonformer Wert bzw. Best Estimate  </t>
  </si>
  <si>
    <t xml:space="preserve">Valeur conforme au marché resp. best estimate  </t>
  </si>
  <si>
    <t xml:space="preserve">Market conform value resp. best estimate  </t>
  </si>
  <si>
    <t>T6.r.5</t>
  </si>
  <si>
    <t>Differenzen aufgrund des veränderten Stichtages</t>
  </si>
  <si>
    <t>Différence due au changement de la date de référence</t>
  </si>
  <si>
    <t>Differences due to the change of the reference date</t>
  </si>
  <si>
    <t>T6.r.6</t>
  </si>
  <si>
    <t>in % der Total Aktiven</t>
  </si>
  <si>
    <t>in % of total assets</t>
  </si>
  <si>
    <t>T6.r.7</t>
  </si>
  <si>
    <t>1.1 Kapitalanlagen</t>
  </si>
  <si>
    <t>1.1 Placements</t>
  </si>
  <si>
    <t>1.1 Investments</t>
  </si>
  <si>
    <t>T6.r.8</t>
  </si>
  <si>
    <t>1.1.1 Immobilien</t>
  </si>
  <si>
    <t>1.1.1 Biens immobiliers</t>
  </si>
  <si>
    <t xml:space="preserve">1.1.1 Real estate </t>
  </si>
  <si>
    <t>T6.r.9</t>
  </si>
  <si>
    <t>Wohnimmobilien: Inland</t>
  </si>
  <si>
    <t>Residential properties: domestic</t>
  </si>
  <si>
    <t>T6.r.10</t>
  </si>
  <si>
    <t>Immeubles d'habitation: à l'étranger</t>
  </si>
  <si>
    <t>Residential properties: abroad</t>
  </si>
  <si>
    <t>T6.r.11</t>
  </si>
  <si>
    <t>T6.r.12</t>
  </si>
  <si>
    <t>T6.r.13</t>
  </si>
  <si>
    <t>Gemischtgenutzte Immobilien: Inland</t>
  </si>
  <si>
    <t>Mixed-use real estate: domestic</t>
  </si>
  <si>
    <t>T6.r.14</t>
  </si>
  <si>
    <t>T6.r.15</t>
  </si>
  <si>
    <t>T6.r.16</t>
  </si>
  <si>
    <t>T6.r.17</t>
  </si>
  <si>
    <t>T6.r.18</t>
  </si>
  <si>
    <t>1.1.2 Beteiligungen</t>
  </si>
  <si>
    <t xml:space="preserve">1.1.2 Participations </t>
  </si>
  <si>
    <t>1.1.2 Participations</t>
  </si>
  <si>
    <t>T6.r.19</t>
  </si>
  <si>
    <t>Beteiligungen: Quote &gt; 50 %</t>
  </si>
  <si>
    <t>Participations: part &gt; 50%</t>
  </si>
  <si>
    <t>Investments in subsidiaries: quota &gt;50%</t>
  </si>
  <si>
    <t>T6.r.20</t>
  </si>
  <si>
    <t>Beteiligungen an Versicherungsgesellschaften</t>
  </si>
  <si>
    <t>Participations dans des sociétés d'assurance</t>
  </si>
  <si>
    <t>Investments in subsidiaries: insurance companies</t>
  </si>
  <si>
    <t>T6.r.21</t>
  </si>
  <si>
    <t>Übrige Beteiligungen</t>
  </si>
  <si>
    <t>Autres participations</t>
  </si>
  <si>
    <t>Other investments in subsidiaries</t>
  </si>
  <si>
    <t>T6.r.22</t>
  </si>
  <si>
    <t>Beteiligungen: Quote 20 % bis 50 %</t>
  </si>
  <si>
    <t>Participations: part 20% à 50%</t>
  </si>
  <si>
    <t>Investments in subsidiaries: quota &gt;20% to 50%</t>
  </si>
  <si>
    <t>T6.r.23</t>
  </si>
  <si>
    <t>T6.r.24</t>
  </si>
  <si>
    <t>T6.r.25</t>
  </si>
  <si>
    <t>1.1.3 Festverzinsliche Wertpapiere</t>
  </si>
  <si>
    <t>1.1.3 Titres à revenu fixe</t>
  </si>
  <si>
    <t>1.1.3 Fixed-income securities</t>
  </si>
  <si>
    <t>T6.r.26</t>
  </si>
  <si>
    <t>Staats- und Zentralbankenanleihen</t>
  </si>
  <si>
    <t>Emprunts publics et de banques centrales</t>
  </si>
  <si>
    <t>Government and central banks bonds</t>
  </si>
  <si>
    <t>T6.r.27</t>
  </si>
  <si>
    <t>davon Schweizer Kantone und Gemeinden</t>
  </si>
  <si>
    <t>dont cantons et communes en Suisse</t>
  </si>
  <si>
    <t>of which Swiss cantons and municipalities</t>
  </si>
  <si>
    <t>T6.r.28</t>
  </si>
  <si>
    <t>davon andere öffentliche Körperschaften</t>
  </si>
  <si>
    <t>dont autres corporations de droit public</t>
  </si>
  <si>
    <t xml:space="preserve">of which other public-sector entities </t>
  </si>
  <si>
    <t>T6.r.29</t>
  </si>
  <si>
    <t>Unternehmensanleihen</t>
  </si>
  <si>
    <t>Emprunts d'entreprises</t>
  </si>
  <si>
    <t>Corporate bonds</t>
  </si>
  <si>
    <t>T6.r.30</t>
  </si>
  <si>
    <t>davon Banken und Effektenhändler</t>
  </si>
  <si>
    <t>dont banques et négociants en valeurs mobilières</t>
  </si>
  <si>
    <t>of which banks and securities dealers</t>
  </si>
  <si>
    <t>T6.r.31</t>
  </si>
  <si>
    <t>Pfandbriefanleihen / Covered Bonds</t>
  </si>
  <si>
    <t>Lettres de gage / Covered Bonds</t>
  </si>
  <si>
    <t>Mortgage bonds / Covered bonds</t>
  </si>
  <si>
    <t>T6.r.32</t>
  </si>
  <si>
    <t>Wandelanleihen</t>
  </si>
  <si>
    <t>Emprunts convertibles</t>
  </si>
  <si>
    <t>Convertible bonds</t>
  </si>
  <si>
    <t>T6.r.33</t>
  </si>
  <si>
    <t>Sonstige Anleihen (inkl. Optionsanleihen, supranationale Anleihen)</t>
  </si>
  <si>
    <t>Autre emprunts (emprunts à option, emprunts supranationaux)</t>
  </si>
  <si>
    <t>Other bonds (incl. warrant bonds, supranational bonds)</t>
  </si>
  <si>
    <t>T6.r.34</t>
  </si>
  <si>
    <t>1.1.4 Darlehen</t>
  </si>
  <si>
    <t>1.1.4 Prêts</t>
  </si>
  <si>
    <t>1.1.4 Loans</t>
  </si>
  <si>
    <t>T6.r.35</t>
  </si>
  <si>
    <t>Nachrangige Darlehen</t>
  </si>
  <si>
    <t>Prêts subordonnés</t>
  </si>
  <si>
    <t>Subordinated loans</t>
  </si>
  <si>
    <t>T6.r.36</t>
  </si>
  <si>
    <t>Policendarlehen</t>
  </si>
  <si>
    <t>Prêts sur police</t>
  </si>
  <si>
    <t>Policyholders' loan</t>
  </si>
  <si>
    <t>T6.r.37</t>
  </si>
  <si>
    <t>Sonstige Darlehen</t>
  </si>
  <si>
    <t>Prêts divers</t>
  </si>
  <si>
    <t>Other loans</t>
  </si>
  <si>
    <t>T6.r.38</t>
  </si>
  <si>
    <t>1.1.5 Hypotheken</t>
  </si>
  <si>
    <t>1.1.5 Hypothèques</t>
  </si>
  <si>
    <t>1.1.5 Mortgages</t>
  </si>
  <si>
    <t>T6.r.39</t>
  </si>
  <si>
    <t>Hypotheken bis 80 % des Verkehrswertes</t>
  </si>
  <si>
    <t>Hypothèques jusqu'à 80 % de la valeur vénale</t>
  </si>
  <si>
    <t xml:space="preserve">Mortgages up to 80% of market value </t>
  </si>
  <si>
    <t>T6.r.40</t>
  </si>
  <si>
    <t>mit festen Zinssätzen</t>
  </si>
  <si>
    <t>avec taux d'intérêt fixes</t>
  </si>
  <si>
    <t>with fixed interest rates</t>
  </si>
  <si>
    <t>T6.r.41</t>
  </si>
  <si>
    <t>mit variablen Zinssätzen</t>
  </si>
  <si>
    <t>avec taux d'intérêt variables</t>
  </si>
  <si>
    <t>with variable interest rates</t>
  </si>
  <si>
    <t>T6.r.42</t>
  </si>
  <si>
    <t>Hypotheken mehr als 80 % des Verkehrswertes</t>
  </si>
  <si>
    <t>Hypothèques au-delà de 80 % de la valeur vénale</t>
  </si>
  <si>
    <t xml:space="preserve">Mortgages over 80% of market value </t>
  </si>
  <si>
    <t>T6.r.43</t>
  </si>
  <si>
    <t>T6.r.44</t>
  </si>
  <si>
    <t>T6.r.45</t>
  </si>
  <si>
    <t>1.1.6 Aktien</t>
  </si>
  <si>
    <t>1.1.6 Actions</t>
  </si>
  <si>
    <t>1.1.6 Equities</t>
  </si>
  <si>
    <t>T6.r.46</t>
  </si>
  <si>
    <t>Aktien und ähnliche Wertschriften</t>
  </si>
  <si>
    <t>Actions et titres similaires</t>
  </si>
  <si>
    <t>Equities and similar securities</t>
  </si>
  <si>
    <t>T6.r.47</t>
  </si>
  <si>
    <t>Aktien von Gruppengesellschaften</t>
  </si>
  <si>
    <t>Actions de sociétés du groupe</t>
  </si>
  <si>
    <t>Equity securities of group companies</t>
  </si>
  <si>
    <t>T6.r.48</t>
  </si>
  <si>
    <t>Anlagen an Immobiliengesellschaften</t>
  </si>
  <si>
    <t>Placements dans des sociétés immobilières</t>
  </si>
  <si>
    <t>Investments in real estate companies</t>
  </si>
  <si>
    <t>T6.r.49</t>
  </si>
  <si>
    <t>1.1.7 Übrige Kapitalanlagen</t>
  </si>
  <si>
    <t>1.1.7 Autres placements</t>
  </si>
  <si>
    <t>1.1.7 Other investments</t>
  </si>
  <si>
    <t>T6.r.50</t>
  </si>
  <si>
    <t>Kollektive Kapitalanlagen</t>
  </si>
  <si>
    <t>Placements collectifs de capitaux</t>
  </si>
  <si>
    <t>Collective investment schemes</t>
  </si>
  <si>
    <t>T6.r.51</t>
  </si>
  <si>
    <t>Anlagefonds: Immobilien</t>
  </si>
  <si>
    <t>Fonds de placement: biens immobiliers</t>
  </si>
  <si>
    <t>Investment funds: real estate</t>
  </si>
  <si>
    <t>T6.r.52</t>
  </si>
  <si>
    <t>Anlagefonds: Aktien</t>
  </si>
  <si>
    <t>Fonds de placement: actions</t>
  </si>
  <si>
    <t>Investment funds: equity securities</t>
  </si>
  <si>
    <t>T6.r.53</t>
  </si>
  <si>
    <t>Anlagefonds: festverzinsliche Wertpapiere</t>
  </si>
  <si>
    <t>Fonds de placement: obligations</t>
  </si>
  <si>
    <t>Investment funds: fixed income securities</t>
  </si>
  <si>
    <t>T6.r.54</t>
  </si>
  <si>
    <t>Anlagefonds: Geldmarkt</t>
  </si>
  <si>
    <t>Fonds de placement: marché monétaire</t>
  </si>
  <si>
    <t>Investment funds: money market</t>
  </si>
  <si>
    <t>T6.r.55</t>
  </si>
  <si>
    <t>Anlagefonds: Übrige</t>
  </si>
  <si>
    <t>Fonds de placement: autres</t>
  </si>
  <si>
    <t>Investment funds: other</t>
  </si>
  <si>
    <t>T6.r.56</t>
  </si>
  <si>
    <t>Anlagefonds: Gemischt</t>
  </si>
  <si>
    <t>Fonds de placement: mixtes</t>
  </si>
  <si>
    <t>Investment funds: mixed</t>
  </si>
  <si>
    <t>T6.r.57</t>
  </si>
  <si>
    <t>Alternative Kapitalanlagen</t>
  </si>
  <si>
    <t>Placements alternatifs de capitaux</t>
  </si>
  <si>
    <t>Alternative investments</t>
  </si>
  <si>
    <t>T6.r.58</t>
  </si>
  <si>
    <t>Hedgefonds</t>
  </si>
  <si>
    <t>Hedge Funds</t>
  </si>
  <si>
    <t>Hedge funds</t>
  </si>
  <si>
    <t>T6.r.59</t>
  </si>
  <si>
    <t>Private Equity</t>
  </si>
  <si>
    <t>Private equity</t>
  </si>
  <si>
    <t>T6.r.60</t>
  </si>
  <si>
    <t>davon Partizipationen (Anteil &lt; 20%)</t>
  </si>
  <si>
    <t>dont participations (part &lt; 20%)</t>
  </si>
  <si>
    <t>of which participations (holding &lt; 20%)</t>
  </si>
  <si>
    <t>T6.r.61</t>
  </si>
  <si>
    <t>Andere Alternative Kapitalanlagen</t>
  </si>
  <si>
    <t>Autres placements alternatifs de capitaux</t>
  </si>
  <si>
    <t>Other alternative investments</t>
  </si>
  <si>
    <t>T6.r.62</t>
  </si>
  <si>
    <t>Private Debt</t>
  </si>
  <si>
    <t>Private debt</t>
  </si>
  <si>
    <t>T6.r.63</t>
  </si>
  <si>
    <t>Senior Secured Loans</t>
  </si>
  <si>
    <t xml:space="preserve">Senior Secured Loans </t>
  </si>
  <si>
    <t>Senior secured loans</t>
  </si>
  <si>
    <t>T6.r.64</t>
  </si>
  <si>
    <t>Rohstoffe</t>
  </si>
  <si>
    <t>Matières premières</t>
  </si>
  <si>
    <t>Commodities</t>
  </si>
  <si>
    <t>T6.r.65</t>
  </si>
  <si>
    <t>Strukturierte Produkte</t>
  </si>
  <si>
    <t>Produits structurés</t>
  </si>
  <si>
    <t>Structured products</t>
  </si>
  <si>
    <t>T6.r.66</t>
  </si>
  <si>
    <t>Insurance-Linked Securities (z.B. Cat Bonds)</t>
  </si>
  <si>
    <t>Insurance linked securities (p. ex. cat bonds)</t>
  </si>
  <si>
    <t>Insurance linked securities (e.g. cat bonds)</t>
  </si>
  <si>
    <t>T6.r.67</t>
  </si>
  <si>
    <t>Andere strukturierte Produkte</t>
  </si>
  <si>
    <t>Autres produits structurés</t>
  </si>
  <si>
    <t>Other structured products</t>
  </si>
  <si>
    <t>T6.r.68</t>
  </si>
  <si>
    <t>Sonstige Kapitalanlagen</t>
  </si>
  <si>
    <t>Autres placements de capitaux</t>
  </si>
  <si>
    <t>Other investments</t>
  </si>
  <si>
    <t>T6.r.69</t>
  </si>
  <si>
    <t>Verbriefte Forderungen</t>
  </si>
  <si>
    <t>Créances titrisées</t>
  </si>
  <si>
    <t>Securitized claims</t>
  </si>
  <si>
    <t>T6.r.70</t>
  </si>
  <si>
    <t>Asset Backed Securities (ABS)</t>
  </si>
  <si>
    <t>Asset backed securities (ABS)</t>
  </si>
  <si>
    <t>T6.r.71</t>
  </si>
  <si>
    <t>Mortgage Backed Securities (MBS)</t>
  </si>
  <si>
    <t>Mortgage backed securities (MBS)</t>
  </si>
  <si>
    <t>T6.r.72</t>
  </si>
  <si>
    <t>Collateralized Debt Obligations (CDO) und Collateralized Loan Obligations (CLO)</t>
  </si>
  <si>
    <t>Collateralized debt obligations (CDO) et Collateralized loan obligations (CLO)</t>
  </si>
  <si>
    <t>Collateralized debt obligations (CDO) and Collateralized loan obligations (CLO)</t>
  </si>
  <si>
    <t>T6.r.73</t>
  </si>
  <si>
    <t>Sonstige verbriefte Forderungen</t>
  </si>
  <si>
    <t>Autres créances titrisées</t>
  </si>
  <si>
    <t>Other securitized claims</t>
  </si>
  <si>
    <t>T6.r.74</t>
  </si>
  <si>
    <t>Andere Kapitalanlagen (Infrastrukturanlagen, Currency Overlay, u.a.)</t>
  </si>
  <si>
    <t>Autres placements (investissements dans l'infrastructure, currency overlay, e.a.)</t>
  </si>
  <si>
    <t xml:space="preserve">Other investments (investments in infrastructure, currency overlay, i.a.) </t>
  </si>
  <si>
    <t>T6.r.75</t>
  </si>
  <si>
    <t>Schwankungsreserven Kapitalanlagen (ohne anteilgebundene Lebensversicherung)</t>
  </si>
  <si>
    <t>Réserves de fluctuation placements de capitaux (sans assurance vie liée à des participations)</t>
  </si>
  <si>
    <t>Equalization reserves investments (without unit-linked life insurance)</t>
  </si>
  <si>
    <t>T6.r.76</t>
  </si>
  <si>
    <t>Total Kapitalanlagen</t>
  </si>
  <si>
    <t>Total des placements de capitaux</t>
  </si>
  <si>
    <t>Total investments</t>
  </si>
  <si>
    <t>T6.r.77</t>
  </si>
  <si>
    <t>Übrige Aktiven</t>
  </si>
  <si>
    <t>Autres actifs</t>
  </si>
  <si>
    <t>Other assets</t>
  </si>
  <si>
    <t>T6.r.78</t>
  </si>
  <si>
    <t>1.2 Kapitalanlagen aus anteilgebundener Lebensversicherung</t>
  </si>
  <si>
    <t>1.2 Placements provenant de l'assurance sur la vie liée à des participations</t>
  </si>
  <si>
    <t>1.2 Financial investments from unit-linked life insurance</t>
  </si>
  <si>
    <t>T6.r.79</t>
  </si>
  <si>
    <t>Fondsanteilgebundene Lebensversicherung</t>
  </si>
  <si>
    <t>Assurance sur la vie liée à des parts de fonds de placement</t>
  </si>
  <si>
    <t>Unit-linked life insurance</t>
  </si>
  <si>
    <t>T6.r.80</t>
  </si>
  <si>
    <t>An interne Anlagebestände oder andere Bezugswerte gebundene Lebensversicherung</t>
  </si>
  <si>
    <t>Assurance sur la vie liée à des fonds cantonnés ou à d’autres valeurs de référence</t>
  </si>
  <si>
    <t>Life insurance linked to internal investment holdings or other reference values</t>
  </si>
  <si>
    <t>T6.r.81</t>
  </si>
  <si>
    <t>Immobilien</t>
  </si>
  <si>
    <t>Biens immobiliers</t>
  </si>
  <si>
    <t>Real estate</t>
  </si>
  <si>
    <t>T6.r.82</t>
  </si>
  <si>
    <t>Festverzinsliche Wertpapiere, Darlehen</t>
  </si>
  <si>
    <t>Titres à revenu fixe, prêts</t>
  </si>
  <si>
    <t>Fixed income securities, loans</t>
  </si>
  <si>
    <t>T6.r.83</t>
  </si>
  <si>
    <t>Hypotheken</t>
  </si>
  <si>
    <t>Hypothèques</t>
  </si>
  <si>
    <t>Mortgages</t>
  </si>
  <si>
    <t>T6.r.84</t>
  </si>
  <si>
    <t>T6.r.85</t>
  </si>
  <si>
    <t>Alternative Anlagen</t>
  </si>
  <si>
    <t>Placements alternatifs</t>
  </si>
  <si>
    <t>T6.r.86</t>
  </si>
  <si>
    <t>Übrige Anlagen</t>
  </si>
  <si>
    <t>Autres placements</t>
  </si>
  <si>
    <t>T6.r.87</t>
  </si>
  <si>
    <t>Schwankungsreserven Kapitalanlagen aus anteilgebundener Lebensversicherung</t>
  </si>
  <si>
    <t>Réserves de fluctuation placements provenant de l'assurance sur la vie liée à des participations</t>
  </si>
  <si>
    <t>Equalization reserves for investments from unit-linked life insurance</t>
  </si>
  <si>
    <t>T6.r.88</t>
  </si>
  <si>
    <t>1.3 Forderungen aus derivativen Finanzinstrumenten</t>
  </si>
  <si>
    <t>1.3 Créances sur instruments financiers dérivés</t>
  </si>
  <si>
    <t>1.3 Receivables from derivative financial instruments</t>
  </si>
  <si>
    <t>T6.r.89</t>
  </si>
  <si>
    <t>Zinsrisikobezogene Instrumente</t>
  </si>
  <si>
    <t>Instruments liés au risque de taux d'intérêt</t>
  </si>
  <si>
    <t>Interest-risk-related instruments</t>
  </si>
  <si>
    <t>T6.r.90</t>
  </si>
  <si>
    <t>Währungsrisikobezogene Instrumente</t>
  </si>
  <si>
    <t>Instruments liés au risque de change</t>
  </si>
  <si>
    <t>Currency-risk-related instruments</t>
  </si>
  <si>
    <t>T6.r.91</t>
  </si>
  <si>
    <t>(Aktien-)Marktrisikobezogene Instrumente</t>
  </si>
  <si>
    <t>Instruments liés au risque de marché / des actions</t>
  </si>
  <si>
    <t>(Equity) Market-risk-related instruments</t>
  </si>
  <si>
    <t>T6.r.92</t>
  </si>
  <si>
    <t>Kreditrisikobezogene Instrumente</t>
  </si>
  <si>
    <t>Instruments liés au risque de crédit</t>
  </si>
  <si>
    <t>Credit-risk-related instruments</t>
  </si>
  <si>
    <t>T6.r.93</t>
  </si>
  <si>
    <t>Versicherungsrisikobezogene Instrumente (z.B. Cat Derivate)</t>
  </si>
  <si>
    <t>Instruments liés au risque d'assurance (p. ex. Cat Derivate)</t>
  </si>
  <si>
    <t>Insurance-risk-related instruments (e.g. cat derivative)</t>
  </si>
  <si>
    <t>T6.r.94</t>
  </si>
  <si>
    <t>Übrige derivative Instrumente</t>
  </si>
  <si>
    <t>Autres instruments dérivés</t>
  </si>
  <si>
    <t>Other derivative instruments</t>
  </si>
  <si>
    <t>T6.r.95</t>
  </si>
  <si>
    <t>1.4 Depotforderungen aus übernommener Rückversicherung</t>
  </si>
  <si>
    <t>1.4 Dépôts découlant de la réassurance acceptée</t>
  </si>
  <si>
    <t xml:space="preserve">1.4 Deposits made under assumed reinsurance contracts </t>
  </si>
  <si>
    <t>T6.r.96</t>
  </si>
  <si>
    <t>1.5 Flüssige Mittel</t>
  </si>
  <si>
    <t>1.5 Liquidités</t>
  </si>
  <si>
    <t>1.5 Cash and cash equivalents</t>
  </si>
  <si>
    <t>T6.r.97</t>
  </si>
  <si>
    <t>Bargeld</t>
  </si>
  <si>
    <t>Numéraire</t>
  </si>
  <si>
    <t>Cash</t>
  </si>
  <si>
    <t>T6.r.98</t>
  </si>
  <si>
    <t>Bankguthaben</t>
  </si>
  <si>
    <t xml:space="preserve">Avoirs sur comptes bancaires </t>
  </si>
  <si>
    <t>Bank credit balance</t>
  </si>
  <si>
    <t>T6.r.99</t>
  </si>
  <si>
    <t>Forderungen aus Geldmarktanlagen</t>
  </si>
  <si>
    <t>Créances sur le marché monétaire</t>
  </si>
  <si>
    <t>Receivables from money market investments</t>
  </si>
  <si>
    <t>T6.r.100</t>
  </si>
  <si>
    <t>1.6 Anteil versicherungstechnische Rückstellungen aus Rückversicherung</t>
  </si>
  <si>
    <t>1.6 Part des réassureurs dans les provisions techniques</t>
  </si>
  <si>
    <t>1.6 Share of technical provisions from reinsurance</t>
  </si>
  <si>
    <t>T6.r.101</t>
  </si>
  <si>
    <t>Direktversicherung: Lebensversicherungsgeschäft (ohne ALV)</t>
  </si>
  <si>
    <t>Direct insurance: life insurance business (excluding unit linked life insurance)</t>
  </si>
  <si>
    <t>T6.r.102</t>
  </si>
  <si>
    <t>davon Anteil Rückversicherer (Leben) am Überschussfonds</t>
  </si>
  <si>
    <t>dont part des réassureurs (vie) dans le fonds d'excédents</t>
  </si>
  <si>
    <t>of which share of reinsurers (life) to the surplus funds</t>
  </si>
  <si>
    <t>T6.r.103</t>
  </si>
  <si>
    <t>Aktive Rückversicherung: Lebensversicherungsgeschäft (ohne ALV)</t>
  </si>
  <si>
    <t>T6.r.104</t>
  </si>
  <si>
    <t>Direktversicherung: Schadenversicherungsgeschäft</t>
  </si>
  <si>
    <t>Assurance directe : assurance dommages</t>
  </si>
  <si>
    <t>Direct insurance: non-life insurance business</t>
  </si>
  <si>
    <t>T6.r.105</t>
  </si>
  <si>
    <t>T6.r.106</t>
  </si>
  <si>
    <t>Direktversicherung: Krankenversicherungsgeschäft</t>
  </si>
  <si>
    <t>Assurance directe : assurance-maladie</t>
  </si>
  <si>
    <t>Direct insurance: health insurance business</t>
  </si>
  <si>
    <t>T6.r.107</t>
  </si>
  <si>
    <t>davon Anteil Rückversicherer (Kranken) am Überschussfonds</t>
  </si>
  <si>
    <t>dont part des réassureurs (maladie) dans le fonds d'excédents</t>
  </si>
  <si>
    <t>of which share of reinsurers (health) to the surplus funds</t>
  </si>
  <si>
    <t>T6.r.108</t>
  </si>
  <si>
    <t>Aktive Rückversicherung: Schadenversicherungsgeschäft</t>
  </si>
  <si>
    <t>Réassurance active : assurance dommages</t>
  </si>
  <si>
    <t>T6.r.109</t>
  </si>
  <si>
    <t>Aktive Rückversicherung: Krankenversicherungsgeschäft</t>
  </si>
  <si>
    <t>Réassurance active : assurance-maladie</t>
  </si>
  <si>
    <t>Reinsurance: health insurance business</t>
  </si>
  <si>
    <t>T6.r.110</t>
  </si>
  <si>
    <t>T6.r.111</t>
  </si>
  <si>
    <t>T6.r.112</t>
  </si>
  <si>
    <t>Direktversicherung: Anteilgebundenes Lebensversicherungsgeschäft</t>
  </si>
  <si>
    <t>Direct insurance: unit-linked life insurance business</t>
  </si>
  <si>
    <t>T6.r.113</t>
  </si>
  <si>
    <t>Aktive Rückversicherung: Anteilgebundenes Lebensversicherungsgeschäft</t>
  </si>
  <si>
    <t>T6.r.114</t>
  </si>
  <si>
    <t>1.7 Sachanlagen</t>
  </si>
  <si>
    <t>1.7 Immobilisations corporelles</t>
  </si>
  <si>
    <t>1.7 Fixed assets</t>
  </si>
  <si>
    <t>T6.r.115</t>
  </si>
  <si>
    <t>Betriebsliegenschaften</t>
  </si>
  <si>
    <t>Immeubles d'exploitation</t>
  </si>
  <si>
    <t>Commercial real estate</t>
  </si>
  <si>
    <t>T6.r.116</t>
  </si>
  <si>
    <t>Sonstige Sachanlagen</t>
  </si>
  <si>
    <t>Autres immobilisations corporelles</t>
  </si>
  <si>
    <t>Other fixed assets</t>
  </si>
  <si>
    <t>T6.r.117</t>
  </si>
  <si>
    <t>1.8 Aktivierte Abschlusskosten</t>
  </si>
  <si>
    <t>1.8 Frais d'acquisition différés, activés, non encore amortis</t>
  </si>
  <si>
    <t>1.8 Deferred acquisition costs</t>
  </si>
  <si>
    <t>T6.r.118</t>
  </si>
  <si>
    <t>1.9 Immaterielle Vermögenswerte</t>
  </si>
  <si>
    <t>1.9 Immobilisations incorporelles</t>
  </si>
  <si>
    <t>1.9 Intangible assets</t>
  </si>
  <si>
    <t>T6.r.119</t>
  </si>
  <si>
    <t>1.10 Forderungen aus dem Versicherungsgeschäft</t>
  </si>
  <si>
    <t>1.10 Créances nées d'opérations d'assurance</t>
  </si>
  <si>
    <t>1.10 Receivables from insurance business</t>
  </si>
  <si>
    <t>T6.r.120</t>
  </si>
  <si>
    <t>T6.r.121</t>
  </si>
  <si>
    <t>Forderungen gegenüber Versicherungs- und Rückversicherungsgesellschaften</t>
  </si>
  <si>
    <t>Créances sur des compagnies d'assurance et de réassurance</t>
  </si>
  <si>
    <t>Receivables from insurance and reinsurance companies</t>
  </si>
  <si>
    <t>T6.r.122</t>
  </si>
  <si>
    <t>Forderungen gegenüber Versicherungsgesellschaften: abgegebene</t>
  </si>
  <si>
    <t>T6.r.123</t>
  </si>
  <si>
    <t>Forderungen gegenüber Versicherungsgesellschaften: übernommene</t>
  </si>
  <si>
    <t>T6.r.124</t>
  </si>
  <si>
    <t>Forderungen gegenüber Versicherungsgesellschaften: übrige</t>
  </si>
  <si>
    <t>Créances sur des compagnies d'assurance: autres</t>
  </si>
  <si>
    <t>Receivables from insurance companies: other</t>
  </si>
  <si>
    <t>T6.r.125</t>
  </si>
  <si>
    <t>T6.r.126</t>
  </si>
  <si>
    <t>T6.r.127</t>
  </si>
  <si>
    <t>1.11 Übrige Forderungen</t>
  </si>
  <si>
    <t>1.11 Autres créances</t>
  </si>
  <si>
    <t>1.11 Other receivables</t>
  </si>
  <si>
    <t>T6.r.128</t>
  </si>
  <si>
    <t>1.12 Sonstige Aktiven</t>
  </si>
  <si>
    <t>1.12 Autres actifs</t>
  </si>
  <si>
    <t>1.12 Other assets</t>
  </si>
  <si>
    <t>T6.r.129</t>
  </si>
  <si>
    <t>Erhaltene Garantien</t>
  </si>
  <si>
    <t>Garanties reçues</t>
  </si>
  <si>
    <t>Guarantees received</t>
  </si>
  <si>
    <t>T6.r.130</t>
  </si>
  <si>
    <t>Sonstige Vermögenswerte</t>
  </si>
  <si>
    <t>T6.r.131</t>
  </si>
  <si>
    <t>1.13 Nicht einbezahltes Grundkapital</t>
  </si>
  <si>
    <t>1.13 Capital non encore libéré</t>
  </si>
  <si>
    <t>1.13 Unpaid share capital</t>
  </si>
  <si>
    <t>T6.r.132</t>
  </si>
  <si>
    <t>1.14 Aktive Rechnungsabgrenzungen</t>
  </si>
  <si>
    <t>1.14 Comptes de régularisation</t>
  </si>
  <si>
    <t>1.14 Accrued assets</t>
  </si>
  <si>
    <t>T6.r.133</t>
  </si>
  <si>
    <t>Vorausbezahlte Versicherungsleistungen</t>
  </si>
  <si>
    <t>Prestations d'assurance versées à l'avance</t>
  </si>
  <si>
    <t>Pre-paid insurance benefits</t>
  </si>
  <si>
    <t>T6.r.134</t>
  </si>
  <si>
    <t>Abgegrenzte Zinsen und Mieten</t>
  </si>
  <si>
    <t>Intérêts et loyers acquis non échus</t>
  </si>
  <si>
    <t>Accrued interest and rent</t>
  </si>
  <si>
    <t>T6.r.135</t>
  </si>
  <si>
    <t>Latente Steuerforderungen</t>
  </si>
  <si>
    <t>Actifs d'impôts différés</t>
  </si>
  <si>
    <t>Deferred tax assets</t>
  </si>
  <si>
    <t>T6.r.136</t>
  </si>
  <si>
    <t>Sonstige Rechnungsabgrenzungsposten</t>
  </si>
  <si>
    <t>Autres comptes de régularisation</t>
  </si>
  <si>
    <t>Other accrued expenses and deferred income</t>
  </si>
  <si>
    <t>T6.r.137</t>
  </si>
  <si>
    <t>Total übrige Aktiven</t>
  </si>
  <si>
    <t>Total des autres actifs</t>
  </si>
  <si>
    <t>Total other assets</t>
  </si>
  <si>
    <t>T6.r.138</t>
  </si>
  <si>
    <t>1.15 Total Aktiven</t>
  </si>
  <si>
    <t>1.15 Total des actifs</t>
  </si>
  <si>
    <t>1.15 Total Assets</t>
  </si>
  <si>
    <t>T6.r.139</t>
  </si>
  <si>
    <t>Liabilities</t>
  </si>
  <si>
    <t>T6.r.140</t>
  </si>
  <si>
    <t>T6.r.141</t>
  </si>
  <si>
    <t>T6.r.142</t>
  </si>
  <si>
    <t>Best Estimate der Versicherungsverpflichtungen (Leben): Brutto</t>
  </si>
  <si>
    <t>Best estimate des engagements actuariels (vie): bruts</t>
  </si>
  <si>
    <t>Best estimate of insurance liabilities (life): gross</t>
  </si>
  <si>
    <t>T6.r.143</t>
  </si>
  <si>
    <t>T6.r.144</t>
  </si>
  <si>
    <t>T6.r.145</t>
  </si>
  <si>
    <t>Equalization reserves and other statutory reserves (life): gross</t>
  </si>
  <si>
    <t>T6.r.146</t>
  </si>
  <si>
    <t>Best Estimate der sonstigen Versicherungsverpflichtungen (Leben): Brutto</t>
  </si>
  <si>
    <t>Best estimate des autres engagements actuariels (vie): bruts</t>
  </si>
  <si>
    <t>Best estimate of other insurance liabilities (life): gross</t>
  </si>
  <si>
    <t>T6.r.147</t>
  </si>
  <si>
    <t>davon Zillmerabschlag (Leben): Brutto</t>
  </si>
  <si>
    <t>dont déduction de Zillmer (vie): brute</t>
  </si>
  <si>
    <t>of which Zillmer discount (life): gross</t>
  </si>
  <si>
    <t>T6.r.148</t>
  </si>
  <si>
    <t>Rückstellungen für vertragliche Überschussbeteiligungen (Leben): Brutto</t>
  </si>
  <si>
    <t>Provisions pour parts d'excédents contractuels (vie): brutes</t>
  </si>
  <si>
    <t>Reserves for contractual profit participation (life): gross</t>
  </si>
  <si>
    <t>T6.r.149</t>
  </si>
  <si>
    <t>Rückstellungen für Überschussfonds (Leben): Brutto</t>
  </si>
  <si>
    <t>Provisions pour fonds d'excédents (vie): brutes</t>
  </si>
  <si>
    <t>Reserves for surplus funds (life): gross</t>
  </si>
  <si>
    <t>T6.r.150</t>
  </si>
  <si>
    <t>T6.r.151</t>
  </si>
  <si>
    <t>T6.r.152</t>
  </si>
  <si>
    <t>T6.r.153</t>
  </si>
  <si>
    <t>davon Best Estimate der Verpflichtungen des UVG-Bestandes: Brutto</t>
  </si>
  <si>
    <t>dont Best estimate des engagements actuariels du portefeuille LAA</t>
  </si>
  <si>
    <t>of which best estimate of insurance liabilities of the UVG portfolio</t>
  </si>
  <si>
    <t>T6.r.154</t>
  </si>
  <si>
    <t>Equalization reserves and other statutory reserves (non-life): gross</t>
  </si>
  <si>
    <t>T6.r.155</t>
  </si>
  <si>
    <t>Best Estimate der sonstigen Versicherungsverpflichtungen (Schaden): Brutto</t>
  </si>
  <si>
    <t>Best estimate of other insurance liabilities (non-life): gross</t>
  </si>
  <si>
    <t>T6.r.156</t>
  </si>
  <si>
    <t>Rückstellungen für vertragliche Überschussbeteiligungen (Schaden): Brutto</t>
  </si>
  <si>
    <t>Reserves for contractual profit participation (non-life): gross</t>
  </si>
  <si>
    <t>T6.r.157</t>
  </si>
  <si>
    <t>Rückstellungen für Überschussfonds (Schaden): Brutto</t>
  </si>
  <si>
    <t>Reserves for surplus funds (non-life): gross</t>
  </si>
  <si>
    <t>T6.r.158</t>
  </si>
  <si>
    <t>T6.r.159</t>
  </si>
  <si>
    <t>T6.r.160</t>
  </si>
  <si>
    <t>T6.r.161</t>
  </si>
  <si>
    <t>T6.r.162</t>
  </si>
  <si>
    <t>T6.r.163</t>
  </si>
  <si>
    <t>T6.r.164</t>
  </si>
  <si>
    <t>Equalization reserves and other statutory reserves (health): gross</t>
  </si>
  <si>
    <t>T6.r.165</t>
  </si>
  <si>
    <t>Best Estimate der sonstigen Versicherungsverpflichtungen (Kranken): Brutto</t>
  </si>
  <si>
    <t>Best estimate des autres engagements actuariels (maladie): bruts</t>
  </si>
  <si>
    <t>Best estimate of other insurance liabilities (health): gross</t>
  </si>
  <si>
    <t>T6.r.166</t>
  </si>
  <si>
    <t>Rückstellungen für vertragliche Überschussbeteiligungen (Kranken): Brutto</t>
  </si>
  <si>
    <t>Provisions pour parts d'excédents contractuels (maladie): brutes</t>
  </si>
  <si>
    <t>Reserves for contractual profit participation (health): gross</t>
  </si>
  <si>
    <t>T6.r.167</t>
  </si>
  <si>
    <t>Rückstellungen für Überschussfonds (Kranken): Brutto</t>
  </si>
  <si>
    <t>Provisions pour fonds d'excédents (maladie): brutes</t>
  </si>
  <si>
    <t>Reserves for surplus funds (health): gross</t>
  </si>
  <si>
    <t>T6.r.168</t>
  </si>
  <si>
    <t>T6.r.169</t>
  </si>
  <si>
    <t>T6.r.170</t>
  </si>
  <si>
    <t>T6.r.171</t>
  </si>
  <si>
    <t>T6.r.172</t>
  </si>
  <si>
    <t>Fondsanteilgebundene Lebensversicherung (A 2.1 - A 2.3 &amp; A 6.1)</t>
  </si>
  <si>
    <t>Assurance de vie liée à des fonds de placement (A 2.1 - A 2.3 et A 6.1)</t>
  </si>
  <si>
    <t>Unit-linked life insurance (A 2.1 - A 2.3 et A 6.1)</t>
  </si>
  <si>
    <t>T6.r.173</t>
  </si>
  <si>
    <t>davon Optionen und Garantien</t>
  </si>
  <si>
    <t>dont options et garanties</t>
  </si>
  <si>
    <t>of which options and guarantees</t>
  </si>
  <si>
    <t>T6.r.174</t>
  </si>
  <si>
    <t>An interne Anlagebestände oder andere Bezugswerte gebundene Lebensversicherung: Brutto (A 2.4 - A 2.6 &amp; A 6.2)</t>
  </si>
  <si>
    <t>Assurance de vie liée à des fonds cantonnés ou à d'autres valeurs de référence: brutes (A 2.4 - A 2.6 &amp; A 6.2)</t>
  </si>
  <si>
    <t>Life insurance linked to internal investment positions and other reference values (A 2.4 - A 2.6 &amp; A 6.2)</t>
  </si>
  <si>
    <t>T6.r.175</t>
  </si>
  <si>
    <t>T6.r.176</t>
  </si>
  <si>
    <t>Schwankungsrückstellungen für anteilgebundene Lebensversicherungen direktes Geschäft: Brutto</t>
  </si>
  <si>
    <t>Provisions de fluctuation de l'assurance sur la vie liée à des participations; affaires directes: brutes</t>
  </si>
  <si>
    <t>Equalization reserves for unit-linked life insurancee; direct business: gross</t>
  </si>
  <si>
    <t>T6.r.177</t>
  </si>
  <si>
    <t>T6.r.178</t>
  </si>
  <si>
    <t>Mindestbetrag</t>
  </si>
  <si>
    <t>Montant minimum</t>
  </si>
  <si>
    <t>Market value margin</t>
  </si>
  <si>
    <t>T6.r.179</t>
  </si>
  <si>
    <t>2.3 Nichtversicherungstechnische Rückstellungen</t>
  </si>
  <si>
    <t>2.3 Provisions non techniques</t>
  </si>
  <si>
    <t>2.3 Non-technical provisions</t>
  </si>
  <si>
    <t>T6.r.180</t>
  </si>
  <si>
    <t>Rückstellungen für Personalvorsorge</t>
  </si>
  <si>
    <t>Provisions pour la prévoyance en faveur du personnel</t>
  </si>
  <si>
    <t>Reserves for employee benefits</t>
  </si>
  <si>
    <t>T6.r.181</t>
  </si>
  <si>
    <t xml:space="preserve">Finanzielle Rückstellungen </t>
  </si>
  <si>
    <t>Provisions financières</t>
  </si>
  <si>
    <t>Financial provisions</t>
  </si>
  <si>
    <t>T6.r.182</t>
  </si>
  <si>
    <t xml:space="preserve">Sonstige Rückstellungen </t>
  </si>
  <si>
    <t>Autres provisions</t>
  </si>
  <si>
    <t>Other provisions</t>
  </si>
  <si>
    <t>T6.r.183</t>
  </si>
  <si>
    <t>2.4 Verzinsliche Verbindlichkeiten</t>
  </si>
  <si>
    <t>2.4 Dettes liées à des instruments de taux</t>
  </si>
  <si>
    <t>2.4 Interest-bearing liabilities</t>
  </si>
  <si>
    <t>T6.r.184</t>
  </si>
  <si>
    <t>2.5. Verbindlichkeiten aus derivativen Finanzinstrumenten</t>
  </si>
  <si>
    <t>2.5 Dettes sur instruments financiers dérivés</t>
  </si>
  <si>
    <t>2.5 Liabilities from derivative financial instruments</t>
  </si>
  <si>
    <t>T6.r.185</t>
  </si>
  <si>
    <t>T6.r.186</t>
  </si>
  <si>
    <t>T6.r.187</t>
  </si>
  <si>
    <t>T6.r.188</t>
  </si>
  <si>
    <t>T6.r.189</t>
  </si>
  <si>
    <t>Versicherungsbezogene Instrumente (z.B. Cat Derivate)</t>
  </si>
  <si>
    <t>Insurance-risk-related instruments  (e.g. cat derivative)</t>
  </si>
  <si>
    <t>T6.r.190</t>
  </si>
  <si>
    <t>T6.r.191</t>
  </si>
  <si>
    <t>2.6 Depotverbindlichkeiten aus abgegebener Rückversicherung</t>
  </si>
  <si>
    <t>2.6 Dépôts résultant de la réassurance cédée</t>
  </si>
  <si>
    <t>2.6 Deposits retained on ceded reinsurance</t>
  </si>
  <si>
    <t>T6.r.192</t>
  </si>
  <si>
    <t>2.7 Verbindlichkeiten aus dem Versicherungsgeschäft</t>
  </si>
  <si>
    <t>2.7 Dettes nées d'opérations d'assurance</t>
  </si>
  <si>
    <t>2.7 Liabilities from insurance business</t>
  </si>
  <si>
    <t>T6.r.193</t>
  </si>
  <si>
    <t>Sonstige Depotverbindlichkeiten</t>
  </si>
  <si>
    <t>Autres dépôts reçus de réassureurs</t>
  </si>
  <si>
    <t>Other deposit liabilities</t>
  </si>
  <si>
    <t>T6.r.194</t>
  </si>
  <si>
    <t>Sonstige Verbindlichkeiten aus dem Versicherungsgeschäft</t>
  </si>
  <si>
    <t>Autres dettes nées d'opérations d'assurance</t>
  </si>
  <si>
    <t>Other liabilities from insurance business</t>
  </si>
  <si>
    <t>T6.r.195</t>
  </si>
  <si>
    <t>2.8 Sonstige Passiven</t>
  </si>
  <si>
    <t>2.8 Autres passifs</t>
  </si>
  <si>
    <t>2.8 Other liabilities</t>
  </si>
  <si>
    <t>T6.r.196</t>
  </si>
  <si>
    <t>Gegebene Garantien, Bürgschaften</t>
  </si>
  <si>
    <t>Garanties données, cautionnements</t>
  </si>
  <si>
    <t>Guarantees given, sureties</t>
  </si>
  <si>
    <t>T6.r.197</t>
  </si>
  <si>
    <t>Sonstige Verbindlichkeiten</t>
  </si>
  <si>
    <t>Dettes diverses</t>
  </si>
  <si>
    <t>Other liabilities</t>
  </si>
  <si>
    <t>T6.r.198</t>
  </si>
  <si>
    <t>2.9. Passive Rechnungsabgrenzungen</t>
  </si>
  <si>
    <t>2.9 Comptes de régularisation</t>
  </si>
  <si>
    <t>2.9 Accrued liabilities</t>
  </si>
  <si>
    <t>T6.r.199</t>
  </si>
  <si>
    <t>Latente Steuerverpflichtungen</t>
  </si>
  <si>
    <t>Engagements fiscaux différés</t>
  </si>
  <si>
    <t>Deferred tax liabilities</t>
  </si>
  <si>
    <t>T6.r.200</t>
  </si>
  <si>
    <t>T6.r.201</t>
  </si>
  <si>
    <t>2.10 Nachrangige Verbindlichkeiten</t>
  </si>
  <si>
    <t>2.10 Dettes subordonnées</t>
  </si>
  <si>
    <t>2.10 Subordinated debts</t>
  </si>
  <si>
    <t>T6.r.202</t>
  </si>
  <si>
    <t>T6.r.203</t>
  </si>
  <si>
    <t>T6.r.204</t>
  </si>
  <si>
    <t>T6.r.205</t>
  </si>
  <si>
    <t>T6.r.206</t>
  </si>
  <si>
    <t>T6.r.207</t>
  </si>
  <si>
    <t>Total Verbindlichkeiten</t>
  </si>
  <si>
    <t>Total des engagements</t>
  </si>
  <si>
    <t>T6.r.208</t>
  </si>
  <si>
    <t>Differenz</t>
  </si>
  <si>
    <t>Différence</t>
  </si>
  <si>
    <t>Difference</t>
  </si>
  <si>
    <t>T6.r.209</t>
  </si>
  <si>
    <t>Alle anderen Anleihen (Pfandbriefanleihen, Wandelanleihen, sonstige Anleihen)</t>
  </si>
  <si>
    <t>Tous les autres placements (lettres de gage, emprunts convertibles, autres placements)</t>
  </si>
  <si>
    <t>All other investments (mortgage bonds, convertible bonds, other bonds)</t>
  </si>
  <si>
    <t>T6.r.210</t>
  </si>
  <si>
    <t>Aufriss nach Währungen</t>
  </si>
  <si>
    <t>Répartition selon la monnaie</t>
  </si>
  <si>
    <t>Currency breakdown</t>
  </si>
  <si>
    <t>T6.r.211</t>
  </si>
  <si>
    <t>Aktiven prüfen</t>
  </si>
  <si>
    <t>Vérifier les actifs</t>
  </si>
  <si>
    <t>Check Assets</t>
  </si>
  <si>
    <t>T6.r.212</t>
  </si>
  <si>
    <t>Verbindlichkeiten prüfen</t>
  </si>
  <si>
    <t>Vérifier les engagements</t>
  </si>
  <si>
    <t>Check Liabilities</t>
  </si>
  <si>
    <t>T6.r.213</t>
  </si>
  <si>
    <t>Komponente</t>
  </si>
  <si>
    <t>Composante</t>
  </si>
  <si>
    <t>Component</t>
  </si>
  <si>
    <t>T6.r.214</t>
  </si>
  <si>
    <t>Actifs</t>
  </si>
  <si>
    <t>T6.r.215</t>
  </si>
  <si>
    <t>T6.r.216</t>
  </si>
  <si>
    <t>T6.r.217</t>
  </si>
  <si>
    <t>T6.r.218</t>
  </si>
  <si>
    <t>RAK (credited in RBC)</t>
  </si>
  <si>
    <t>T6.r.219</t>
  </si>
  <si>
    <t>Eigenkapital/Risikotragendes Kapital</t>
  </si>
  <si>
    <t>Capitaux propres/capital porteur de risque</t>
  </si>
  <si>
    <t>Equity/Risk Bearing Captial</t>
  </si>
  <si>
    <t>T6.r.220</t>
  </si>
  <si>
    <t>Prüfung</t>
  </si>
  <si>
    <t>Vérification</t>
  </si>
  <si>
    <t>Check</t>
  </si>
  <si>
    <t>Anpassungen</t>
  </si>
  <si>
    <t>CHF</t>
  </si>
  <si>
    <t>Abzüge und risikoabsorbierende Kapitalinstrumente (RAK)</t>
  </si>
  <si>
    <t xml:space="preserve"> Deductions and risk-absorbing capital instruments (RAK)</t>
  </si>
  <si>
    <t>Sign convention:
RBC = assets - liabilities + (deductions and RAK) ;
TC = sum of components;</t>
  </si>
  <si>
    <t>Wohnimmobilien</t>
  </si>
  <si>
    <t>Immeubles d'habitation</t>
  </si>
  <si>
    <t>Residential properties</t>
  </si>
  <si>
    <t>Wohnimmobilien: Ausland</t>
  </si>
  <si>
    <t>Kommerzielle Liegenschaften</t>
  </si>
  <si>
    <t>Immeubles commerciaux</t>
  </si>
  <si>
    <t>Kommerzielle Liegenschaften: Inland</t>
  </si>
  <si>
    <t>Immeubles commerciaux: en Suisse</t>
  </si>
  <si>
    <t>Commercial real estate: domestic</t>
  </si>
  <si>
    <t>Kommerzielle Liegenschaften: Ausland</t>
  </si>
  <si>
    <t>Immeubles commerciaux: à l'étranger</t>
  </si>
  <si>
    <t>Commercial real estate: abroad</t>
  </si>
  <si>
    <t>Gemischtgenutzte Immobilien</t>
  </si>
  <si>
    <t>Immeubles avec utilisation mixte</t>
  </si>
  <si>
    <t>Mixed-use real estate</t>
  </si>
  <si>
    <t>Gemischtgenutzte Immobilien: Ausland</t>
  </si>
  <si>
    <t>Immeubles avec utilisation mixte: à l'étranger</t>
  </si>
  <si>
    <t>Mixed-use real estate: abroad</t>
  </si>
  <si>
    <t>Übrige Immobilien</t>
  </si>
  <si>
    <t>Autres immeubles</t>
  </si>
  <si>
    <t>Other real estate</t>
  </si>
  <si>
    <t>Direktversicherung: Schadenversicherungsgeschäft - verdientes Geschäft</t>
  </si>
  <si>
    <t>Assurance directe : assurance dommages - affaires acquises</t>
  </si>
  <si>
    <t>Direct insurance: non-life insurance business - earned business</t>
  </si>
  <si>
    <t>Direktversicherung: Schadenversicherungsgeschäft - unverdientes Geschäft</t>
  </si>
  <si>
    <t>Assurance directe : assurance dommages - affaires non acquises</t>
  </si>
  <si>
    <t>Direct insurance: non-life insurance business - unearned business</t>
  </si>
  <si>
    <t>Anteil Rückversicherer (Schaden) am Überschussfonds</t>
  </si>
  <si>
    <t>Aktive Rückversicherung (Schaden) - verdientes Geschäft</t>
  </si>
  <si>
    <t>Réassurance active (dommages) - affaires acquises</t>
  </si>
  <si>
    <t>Active reinsurance (non-life) - earned business</t>
  </si>
  <si>
    <t>Aktive Rückversicherung (Schaden) - unverdientes Geschäft</t>
  </si>
  <si>
    <t>Réassurance active (dommages) - affaires non acquises</t>
  </si>
  <si>
    <t>Active reinsurance (non-life) - unearned business</t>
  </si>
  <si>
    <t>Forderungen gegenüber Versicherungsnehmerinnen und Versicherungsnehmern, Vermittlerinnen und Vermittlern</t>
  </si>
  <si>
    <t>Créances sur les preneurs d'assurance et intermédiaires d’assurance</t>
  </si>
  <si>
    <t>Receivables from policyholders and insurance intermediaries</t>
  </si>
  <si>
    <t>Sonstige Forderungen aus Versicherungs- und Rückversicherungstätigkeit</t>
  </si>
  <si>
    <t>Autres créances nées d'opérations d'assurance et de réassurance</t>
  </si>
  <si>
    <t>Other receivables from insurance and reinsurance business</t>
  </si>
  <si>
    <t>Sonstige Depotforderungen</t>
  </si>
  <si>
    <t>Autres dépôts</t>
  </si>
  <si>
    <t>Other deposit receivables</t>
  </si>
  <si>
    <t>2.1 Bestmöglicher Schätzwert der Versicherungsverpflichtungen</t>
  </si>
  <si>
    <t>2.1 Valeur estimative la meilleure possible des engagements d’assurances</t>
  </si>
  <si>
    <t>2.1 Best estimate of insurance liabilities</t>
  </si>
  <si>
    <t>Einzelgeschäft</t>
  </si>
  <si>
    <t>Affaires individuelles</t>
  </si>
  <si>
    <t>Individual business</t>
  </si>
  <si>
    <t>Kollektivgeschäft</t>
  </si>
  <si>
    <t>Affaires collectives</t>
  </si>
  <si>
    <t>Group business</t>
  </si>
  <si>
    <t>Schwankungsrückstellungen und weitere statutarische Rückstellungen (Leben): Brutto</t>
  </si>
  <si>
    <t>Provisions de fluctuation et autres provisions statutaires (vie): brutes</t>
  </si>
  <si>
    <t>Best Estimate der Versicherungsverpflichtungen (Schaden): Brutto - verdientes Geschäft</t>
  </si>
  <si>
    <t>Best estimate des engagements actuariels (dommages): brut - affaires acquises</t>
  </si>
  <si>
    <t>Best estimate of insurance liabilities (non-life): gross - earned business</t>
  </si>
  <si>
    <t>Best Estimate der Versicherungsverpflichtungen (Schaden): Brutto - unverdientes Geschäft</t>
  </si>
  <si>
    <t>Best estimate des engagements actuariels (dommages): brut - affaires non acquises</t>
  </si>
  <si>
    <t>Best estimate of insurance liabilities (non-life): gross - unearned business</t>
  </si>
  <si>
    <t>Schwankungsrückstellungen und weitere statutarische Rückstellungen (Schaden): Brutto</t>
  </si>
  <si>
    <t>Provisions de fluctuation et autres provisions statutaires (dommage): brutes</t>
  </si>
  <si>
    <t>Aktive Rückversicherung: Best Estimate der Versicherungsverpflichtungen (Schaden) - verdientes Geschäft</t>
  </si>
  <si>
    <t>Réassurance active: best estimate des engagements actuariels (dommages) - affaires acquises</t>
  </si>
  <si>
    <t>Active reinsurance: best estimate of insurance liabilities (non-life) - earned business</t>
  </si>
  <si>
    <t>Aktive Rückversicherung: Best Estimate der Versicherungsverpflichtungen (Schaden) - unverdientes Geschäft</t>
  </si>
  <si>
    <t>Réassurance active: best estimate des engagements actuariels (dommages) - affaires non acquises</t>
  </si>
  <si>
    <t>Active reinsurance: best estimate of insurance liabilities (non-life) - unearned business</t>
  </si>
  <si>
    <t>Aktive Rückversicherung: Best Estimate der sonstigen Versicherungsverpflichtungen (Schaden)</t>
  </si>
  <si>
    <t>Réassurance active: best estimate des autres engagements actuariels (dommages)</t>
  </si>
  <si>
    <t>Active reinsurance: best estimate of other insurance liabilities (non-life)</t>
  </si>
  <si>
    <t>Best Estimate der Versicherungsverpflichtungen (Kranken): Brutto - verdientes Geschäft</t>
  </si>
  <si>
    <t>Best estimate des engagements actuariels (maladie): brut - affaires acquises</t>
  </si>
  <si>
    <t>Best estimate of insurance liabilities (health): gross - earned business</t>
  </si>
  <si>
    <t>Best Estimate der Versicherungsverpflichtungen Einzelkranken (ADISD02100 - ADISD02400): Brutto</t>
  </si>
  <si>
    <t xml:space="preserve">Best estimate des engagements actuariels en assurance-maladie individuelle (ADISD02100 - ADISD02400): brut </t>
  </si>
  <si>
    <t>Best estimate of insurance liabilities individual health insurance (ADISD02100 - ADISD02400): gross</t>
  </si>
  <si>
    <t>Best Estimate der Versicherungsverpflichtungen Kollektivtaggeld (ADISD02500): Brutto</t>
  </si>
  <si>
    <t>Best estimate des engagements actuariels en assurance collective d’indemnités journalières (ADISD02500): brut</t>
  </si>
  <si>
    <t>Best estimate of insurance liabilities collective daily allowance (ADISD02500): gross</t>
  </si>
  <si>
    <t>Best Estimate der Langzeitverpflichtungen (Kranken) (ADISD02100 - ADISD02400): Brutto</t>
  </si>
  <si>
    <t>Best estimate des engagements viagers (maladie) (ADISD02100 - ADISD02400): brut</t>
  </si>
  <si>
    <t>Best estimate of long-term insurance liabilities (health) (ADISD02100 - ADISD02400): gross</t>
  </si>
  <si>
    <t>Best Estimate des unverdienten Geschäfts Kollektivtaggeld (ADISD02500): Brutto</t>
  </si>
  <si>
    <t xml:space="preserve">Best estimate des affaires non acquises en assurance collective d'indemnités journalières (ADISD02500): brut </t>
  </si>
  <si>
    <t>Best estimate of unearned collective daily allowance (ADISD02500): gross</t>
  </si>
  <si>
    <t>Schwankungsrückstellungen und weitere statutarische Rückstellungen (Kranken): Brutto</t>
  </si>
  <si>
    <t>Provisions de fluctuation et autres provisions statutaires (maladie): brutes</t>
  </si>
  <si>
    <t>2.2 Bestmöglicher Schätzwert der Versicherungsverpflichtungen für anteilgebundene Lebensversicherung</t>
  </si>
  <si>
    <t>2.2 Valeur estimative la meilleure possible des engagements d’assurance sur la vie liée à des participations</t>
  </si>
  <si>
    <t>2.2 Best estimate of insurance liabilities for unit-linked life insurance</t>
  </si>
  <si>
    <t>Unbefristete nachrangige Verbindlichkeiten (ohne Abschreibungs- und Wandlungscharakter)</t>
  </si>
  <si>
    <t>Dettes subordonnées, à durée indéterminée (sans caractère d'amortissement ou de convertibilité)</t>
  </si>
  <si>
    <t>Unlimited subordinated debts (without write-off or convertible character)</t>
  </si>
  <si>
    <t>Tier 2-RAK - im SST angerechnet</t>
  </si>
  <si>
    <t>RAK de tier 2 - imputé dans le SST</t>
  </si>
  <si>
    <t>Tier 2 RAK - eligible under SST</t>
  </si>
  <si>
    <t>Tier 2-RAK - im SST nicht angerechnet</t>
  </si>
  <si>
    <t>RAK de tier 2 - non imputé dans le SST</t>
  </si>
  <si>
    <t>Tier 2 RAK - non eligible under SST</t>
  </si>
  <si>
    <t>Andere unbefristete nachrangige Verbindlichkeiten (ohne Abschreibungs- und Wandlungscharakter)</t>
  </si>
  <si>
    <t>Autres dettes subordonnées, à durée indéterminée (sans caractère d'amortissement ou de convertibilité)</t>
  </si>
  <si>
    <t>Other unlimited subordinated debts (without write-off or convertible character)</t>
  </si>
  <si>
    <t>Unbefristete nachrangige Verbindlichkeiten - Abschreibungs- und Wandlungsinstrumente</t>
  </si>
  <si>
    <t>Dettes subordonnées, à durée indéterminée - amortissement ou convertibilité</t>
  </si>
  <si>
    <t>Unlimited subordinated debts - write-off or convertible</t>
  </si>
  <si>
    <t>Tier 1-RAK - Abschreibungsinstrument - im SST angerechnet</t>
  </si>
  <si>
    <t>RAK de tier 1 - Instrument d'amortissement - imputé dans le SST</t>
  </si>
  <si>
    <t>Tier 1 RAK - Write-off instrument - eligible under SST</t>
  </si>
  <si>
    <t>Tier 1-RAK - Wandlungsinstrument - im SST angerechnet</t>
  </si>
  <si>
    <t>RAK de tier 1 - Instrument de convertibilité - imputé dans le SST</t>
  </si>
  <si>
    <t>Tier 1 RAK - Convertible instrument - eligible under SST</t>
  </si>
  <si>
    <t>Tier 1-RAK - Abschreibungs- und Wandlungsinstrument - im SST nicht angerechnet</t>
  </si>
  <si>
    <t>RAK de tier 1 - Instrument d'amortissement et de convertibilité - non imputé dans le SST</t>
  </si>
  <si>
    <t>Tier 1 RAK - Write-off and convertible instrument - non eligible under SST</t>
  </si>
  <si>
    <t>Andere Abschreibungs- und Wandlungsinstrumente</t>
  </si>
  <si>
    <t>Autres instruments d'amortissement et de convertibilité</t>
  </si>
  <si>
    <t>Other write-off and convertible instruments - non eligible under SST</t>
  </si>
  <si>
    <t>Befristete nachrangige Verbindlichkeiten</t>
  </si>
  <si>
    <t>Dettes subordonnées, à durée déterminée</t>
  </si>
  <si>
    <t>Limited subordinated debts</t>
  </si>
  <si>
    <t>Andere befristete nachrangige Verbindlichkeiten</t>
  </si>
  <si>
    <t>Autres dettes subordonnées, à durée déterminée</t>
  </si>
  <si>
    <t>Other limited subordinated debts</t>
  </si>
  <si>
    <t>T6.r.221</t>
  </si>
  <si>
    <t>T6.r.222</t>
  </si>
  <si>
    <t>T6.r.223</t>
  </si>
  <si>
    <t>T6.r.224</t>
  </si>
  <si>
    <t>T6.r.225</t>
  </si>
  <si>
    <t>T6.r.226</t>
  </si>
  <si>
    <t>T6.r.227</t>
  </si>
  <si>
    <t>T6.r.228</t>
  </si>
  <si>
    <t>T6.r.229</t>
  </si>
  <si>
    <t>T6.r.230</t>
  </si>
  <si>
    <t>T6.r.231</t>
  </si>
  <si>
    <t>T6.r.232</t>
  </si>
  <si>
    <t>T6.r.233</t>
  </si>
  <si>
    <t>T6.r.234</t>
  </si>
  <si>
    <t>part des réassureurs (dommage) dans le fonds d'excédents</t>
  </si>
  <si>
    <t>share of reinsurers (casuality) to the surplus funds</t>
  </si>
  <si>
    <t>No</t>
  </si>
  <si>
    <t>SST Balance sheet</t>
  </si>
  <si>
    <t>Statutory Balance sheet</t>
  </si>
  <si>
    <t>en % du total des actifs</t>
  </si>
  <si>
    <t>Immeubles d'habitation: en Suisse</t>
  </si>
  <si>
    <t>Immeubles avec utilisation mixte: en Suisse</t>
  </si>
  <si>
    <t>Assurance directe : assurance sur la vie (hors assurance sur la vie liée à des participations)</t>
  </si>
  <si>
    <t>Réassurance active : assurance sur la vie (hors assurance sur la vie liée à des participations)</t>
  </si>
  <si>
    <t>Active reinsurance: non-life insurance business</t>
  </si>
  <si>
    <t>Assurance directe : assurance sur la vie liée à des participations</t>
  </si>
  <si>
    <t>Réassurance active : assurance sur la vie liée à des participations</t>
  </si>
  <si>
    <t>Créances sur des compagnies d'assurance: cédées</t>
  </si>
  <si>
    <t xml:space="preserve">Receivables from insurance companies: ceded </t>
  </si>
  <si>
    <t>Créances sur des compagnies d'assurance: acceptées</t>
  </si>
  <si>
    <t>Receivables from insurance companies: assumed</t>
  </si>
  <si>
    <t>Provisions pour parts d'excédents contractuels (dommages): brutes</t>
  </si>
  <si>
    <t>Provisions pour fonds d'excédents (dommages): brutes</t>
  </si>
  <si>
    <t>Réassurance active : assurance-maladie</t>
  </si>
  <si>
    <t>Réassurance active : assurance sur la vie liée à des participations</t>
  </si>
  <si>
    <t>Best estimate des autres engagements actuariels (dommages): brut</t>
  </si>
  <si>
    <t xml:space="preserve">Hinweis: Ausgegraute Zellen in der Vorjahresbilanz müssen aufgrund der Neuerungen in der Bilanz nicht befüllt werden.Durch diese Neuerung ist ausserdem in der Vorjahresbilanz die Position einer Kategorie nicht notwendigerweise gleich der Summe der Positionen innerhalb dieser Kategorie. </t>
  </si>
  <si>
    <t>Active reinsurance: unit-linked life insurance business</t>
  </si>
  <si>
    <t>Active reinsurance: life insurance business (excluding unit linked life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</si>
</sst>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_ * #,##0.0_ ;_ * \-#,##0.0_ ;_ * &quot;-&quot;??_ ;_ @_ "/>
    <numFmt numFmtId="167" formatCode="_(* #,##0.0_);_(* \(#,##0.0\);_(* &quot;-&quot;??_);_(@_)"/>
    <numFmt numFmtId="168" formatCode="0.0"/>
    <numFmt numFmtId="169" formatCode="_(* #,##0.0_);_(* \(#,##0.0\);_(* &quot;-&quot;?_);_(@_)"/>
    <numFmt numFmtId="170" formatCode="_ * #,##0.0_ ;_ * \-#,##0.0_ ;_ * &quot;-&quot;?_ ;_ @_ "/>
    <numFmt numFmtId="171" formatCode="0.0%"/>
  </numFmts>
  <fonts count="35">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color theme="1"/>
      <name val="Arial"/>
      <family val="2"/>
    </font>
    <font>
      <b/>
      <sz val="8"/>
      <color theme="1"/>
      <name val="Arial"/>
      <family val="2"/>
    </font>
    <font>
      <sz val="6"/>
      <color theme="1"/>
      <name val="Arial"/>
      <family val="2"/>
    </font>
    <font>
      <sz val="11"/>
      <color theme="1"/>
      <name val="Calibri"/>
      <family val="2"/>
      <scheme val="minor"/>
    </font>
    <font>
      <b/>
      <sz val="10"/>
      <color theme="1"/>
      <name val="Arial"/>
      <family val="2"/>
    </font>
    <font>
      <b/>
      <sz val="10"/>
      <color theme="1"/>
      <name val="Univers 45 Light"/>
    </font>
    <font>
      <sz val="10"/>
      <color theme="1"/>
      <name val="Univers 45 Light"/>
    </font>
    <font>
      <sz val="10"/>
      <color rgb="FF000000"/>
      <name val="Arial"/>
      <family val="2"/>
    </font>
    <font>
      <i/>
      <sz val="10"/>
      <color theme="1"/>
      <name val="Arial"/>
      <family val="2"/>
    </font>
    <font>
      <sz val="6"/>
      <color rgb="FF000000"/>
      <name val="Arial"/>
      <family val="2"/>
    </font>
    <font>
      <sz val="10"/>
      <color theme="1"/>
      <name val="Times New Roman"/>
      <family val="1"/>
    </font>
    <font>
      <sz val="8"/>
      <color rgb="FF000000"/>
      <name val="Arial"/>
      <family val="2"/>
    </font>
    <font>
      <b/>
      <sz val="16"/>
      <color theme="1"/>
      <name val="Arial"/>
      <family val="2"/>
    </font>
    <font>
      <b/>
      <sz val="10"/>
      <name val="Univers 45 Light"/>
    </font>
    <font>
      <sz val="9"/>
      <color theme="1"/>
      <name val="Arial"/>
      <family val="2"/>
    </font>
    <font>
      <sz val="9"/>
      <color rgb="FF000000"/>
      <name val="Arial"/>
      <family val="2"/>
    </font>
    <font>
      <i/>
      <sz val="9"/>
      <color rgb="FF000000"/>
      <name val="Arial"/>
      <family val="2"/>
    </font>
    <font>
      <b/>
      <sz val="9"/>
      <color theme="1"/>
      <name val="Arial"/>
      <family val="2"/>
    </font>
    <font>
      <sz val="9"/>
      <color theme="1"/>
      <name val="Calibri"/>
      <family val="2"/>
      <scheme val="minor"/>
    </font>
    <font>
      <sz val="8"/>
      <name val="Calibri"/>
      <family val="2"/>
      <scheme val="minor"/>
    </font>
    <font>
      <sz val="7"/>
      <color theme="1"/>
      <name val="Arial"/>
      <family val="2"/>
    </font>
    <font>
      <sz val="8"/>
      <color theme="1"/>
      <name val="Arial Narrow"/>
      <family val="2"/>
    </font>
    <font>
      <sz val="10"/>
      <color rgb="FFFF0000"/>
      <name val="Arial"/>
      <family val="2"/>
    </font>
    <font>
      <sz val="10"/>
      <name val="Univers 45 Light"/>
    </font>
    <font>
      <sz val="10"/>
      <name val="Arial"/>
      <family val="2"/>
    </font>
    <font>
      <sz val="8"/>
      <name val="Arial"/>
      <family val="2"/>
    </font>
    <font>
      <sz val="10"/>
      <color theme="1"/>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rgb="FFD4ECF9"/>
        <bgColor indexed="64"/>
      </patternFill>
    </fill>
    <fill>
      <patternFill patternType="solid">
        <fgColor rgb="FFFDE2CE"/>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lightGray"/>
    </fill>
  </fills>
  <borders count="6">
    <border>
      <left/>
      <right/>
      <top/>
      <bottom/>
      <diagonal/>
    </border>
    <border>
      <left/>
      <right/>
      <top/>
      <bottom style="thin">
        <color indexed="64"/>
      </bottom>
      <diagonal/>
    </border>
    <border>
      <left/>
      <right/>
      <top style="thin">
        <color indexed="64"/>
      </top>
      <bottom/>
      <diagonal/>
    </border>
    <border>
      <left/>
      <right/>
      <top style="thin">
        <color rgb="FFFFFFFF"/>
      </top>
      <bottom style="thin">
        <color rgb="FFFFFFFF"/>
      </bottom>
      <diagonal/>
    </border>
    <border>
      <left/>
      <right style="thin">
        <color theme="0"/>
      </right>
      <top style="thin">
        <color rgb="FFFFFFFF"/>
      </top>
      <bottom style="thin">
        <color rgb="FFFFFFFF"/>
      </bottom>
      <diagonal/>
    </border>
    <border>
      <left/>
      <right/>
      <top style="thin">
        <color theme="0" tint="-0.24994659260841701"/>
      </top>
      <bottom style="thin">
        <color theme="0" tint="-0.24994659260841701"/>
      </bottom>
      <diagonal/>
    </border>
  </borders>
  <cellStyleXfs count="7">
    <xf numFmtId="0" fontId="0" fillId="0" borderId="0"/>
    <xf numFmtId="9" fontId="11" fillId="0" borderId="0" applyFont="0" applyFill="0" applyBorder="0" applyAlignment="0" applyProtection="0"/>
    <xf numFmtId="0" fontId="6" fillId="0" borderId="0"/>
    <xf numFmtId="164" fontId="6" fillId="0" borderId="0" applyFont="0" applyFill="0" applyBorder="0" applyAlignment="0" applyProtection="0"/>
    <xf numFmtId="0" fontId="15" fillId="0" borderId="0" applyNumberFormat="0" applyBorder="0" applyProtection="0"/>
    <xf numFmtId="0" fontId="3" fillId="0" borderId="0"/>
    <xf numFmtId="0" fontId="3" fillId="0" borderId="0"/>
  </cellStyleXfs>
  <cellXfs count="201">
    <xf numFmtId="0" fontId="0" fillId="0" borderId="0" xfId="0"/>
    <xf numFmtId="0" fontId="8" fillId="0" borderId="0" xfId="0" applyFont="1"/>
    <xf numFmtId="0" fontId="8" fillId="0" borderId="1" xfId="0" applyFont="1" applyFill="1" applyBorder="1" applyAlignment="1">
      <alignment wrapText="1"/>
    </xf>
    <xf numFmtId="0" fontId="8" fillId="0" borderId="0" xfId="0" applyFont="1" applyFill="1"/>
    <xf numFmtId="0" fontId="8" fillId="3" borderId="0" xfId="0" applyFont="1" applyFill="1"/>
    <xf numFmtId="9" fontId="8" fillId="3" borderId="0" xfId="0" applyNumberFormat="1" applyFont="1" applyFill="1"/>
    <xf numFmtId="9" fontId="8" fillId="2" borderId="1" xfId="0" applyNumberFormat="1" applyFont="1" applyFill="1" applyBorder="1" applyAlignment="1">
      <alignment wrapText="1"/>
    </xf>
    <xf numFmtId="9" fontId="8" fillId="0" borderId="0" xfId="0" applyNumberFormat="1" applyFont="1"/>
    <xf numFmtId="0" fontId="8" fillId="2" borderId="0" xfId="0" applyFont="1" applyFill="1"/>
    <xf numFmtId="9" fontId="8" fillId="2" borderId="0" xfId="0" applyNumberFormat="1" applyFont="1" applyFill="1"/>
    <xf numFmtId="0" fontId="8" fillId="4" borderId="0" xfId="0" applyFont="1" applyFill="1"/>
    <xf numFmtId="9" fontId="8" fillId="2" borderId="1" xfId="0" applyNumberFormat="1" applyFont="1" applyFill="1" applyBorder="1"/>
    <xf numFmtId="165" fontId="9" fillId="3" borderId="0" xfId="0" applyNumberFormat="1" applyFont="1" applyFill="1"/>
    <xf numFmtId="165" fontId="8" fillId="2" borderId="1" xfId="0" applyNumberFormat="1" applyFont="1" applyFill="1" applyBorder="1" applyAlignment="1">
      <alignment wrapText="1"/>
    </xf>
    <xf numFmtId="165" fontId="8" fillId="0" borderId="0" xfId="0" applyNumberFormat="1" applyFont="1"/>
    <xf numFmtId="165" fontId="8" fillId="3" borderId="0" xfId="0" applyNumberFormat="1" applyFont="1" applyFill="1"/>
    <xf numFmtId="165" fontId="8" fillId="0" borderId="0" xfId="0" applyNumberFormat="1" applyFont="1" applyFill="1"/>
    <xf numFmtId="165" fontId="8" fillId="2" borderId="0" xfId="0" applyNumberFormat="1" applyFont="1" applyFill="1"/>
    <xf numFmtId="165" fontId="8" fillId="2" borderId="1" xfId="0" applyNumberFormat="1" applyFont="1" applyFill="1" applyBorder="1"/>
    <xf numFmtId="0" fontId="9" fillId="0" borderId="0" xfId="0" applyFont="1" applyFill="1"/>
    <xf numFmtId="0" fontId="8" fillId="2" borderId="0" xfId="0" applyFont="1" applyFill="1" applyBorder="1"/>
    <xf numFmtId="165" fontId="8" fillId="2" borderId="0" xfId="0" applyNumberFormat="1" applyFont="1" applyFill="1" applyBorder="1"/>
    <xf numFmtId="0" fontId="8" fillId="2" borderId="0" xfId="0" applyFont="1" applyFill="1" applyAlignment="1">
      <alignment wrapText="1"/>
    </xf>
    <xf numFmtId="0" fontId="6" fillId="0" borderId="0" xfId="2"/>
    <xf numFmtId="0" fontId="6" fillId="4" borderId="0" xfId="2" applyFill="1"/>
    <xf numFmtId="0" fontId="13" fillId="4" borderId="2" xfId="2" applyFont="1" applyFill="1" applyBorder="1" applyAlignment="1">
      <alignment vertical="center"/>
    </xf>
    <xf numFmtId="0" fontId="14" fillId="4" borderId="0" xfId="2" applyFont="1" applyFill="1" applyAlignment="1">
      <alignment vertical="center"/>
    </xf>
    <xf numFmtId="0" fontId="14" fillId="4" borderId="0" xfId="2" applyFont="1" applyFill="1" applyBorder="1" applyAlignment="1">
      <alignment vertical="center"/>
    </xf>
    <xf numFmtId="167" fontId="0" fillId="0" borderId="0" xfId="3" applyNumberFormat="1" applyFont="1"/>
    <xf numFmtId="0" fontId="16" fillId="0" borderId="0" xfId="2" applyFont="1"/>
    <xf numFmtId="9" fontId="8" fillId="3" borderId="0" xfId="1" applyFont="1" applyFill="1"/>
    <xf numFmtId="0" fontId="8" fillId="2" borderId="1" xfId="0" quotePrefix="1" applyFont="1" applyFill="1" applyBorder="1"/>
    <xf numFmtId="0" fontId="18" fillId="0" borderId="0" xfId="0" applyFont="1"/>
    <xf numFmtId="0" fontId="19" fillId="5" borderId="0" xfId="0" applyFont="1" applyFill="1" applyAlignment="1">
      <alignment vertical="center"/>
    </xf>
    <xf numFmtId="0" fontId="19" fillId="5" borderId="0" xfId="0" applyFont="1" applyFill="1" applyAlignment="1">
      <alignment vertical="center" wrapText="1"/>
    </xf>
    <xf numFmtId="0" fontId="20" fillId="4" borderId="0" xfId="0" applyFont="1" applyFill="1" applyBorder="1"/>
    <xf numFmtId="0" fontId="0" fillId="4" borderId="0" xfId="0" applyFill="1" applyBorder="1"/>
    <xf numFmtId="0" fontId="0" fillId="6" borderId="3" xfId="0" applyFill="1" applyBorder="1" applyAlignment="1">
      <alignment horizontal="left" vertical="center"/>
    </xf>
    <xf numFmtId="0" fontId="0" fillId="4" borderId="0" xfId="0" applyFill="1" applyBorder="1" applyAlignment="1">
      <alignment horizontal="center"/>
    </xf>
    <xf numFmtId="0" fontId="0" fillId="0" borderId="0" xfId="0" applyFill="1"/>
    <xf numFmtId="0" fontId="6" fillId="0" borderId="0" xfId="2" applyFill="1"/>
    <xf numFmtId="0" fontId="21" fillId="3" borderId="0" xfId="2" applyFont="1" applyFill="1" applyAlignment="1">
      <alignment horizontal="left"/>
    </xf>
    <xf numFmtId="0" fontId="21" fillId="3" borderId="0" xfId="2" applyFont="1" applyFill="1" applyAlignment="1">
      <alignment horizontal="centerContinuous"/>
    </xf>
    <xf numFmtId="0" fontId="21" fillId="3" borderId="0" xfId="2" applyFont="1" applyFill="1" applyAlignment="1">
      <alignment horizontal="center"/>
    </xf>
    <xf numFmtId="0" fontId="21" fillId="2" borderId="0" xfId="2" applyFont="1" applyFill="1" applyAlignment="1">
      <alignment horizontal="left"/>
    </xf>
    <xf numFmtId="0" fontId="20" fillId="0" borderId="0" xfId="2" applyFont="1"/>
    <xf numFmtId="0" fontId="6" fillId="8" borderId="0" xfId="2" applyFill="1"/>
    <xf numFmtId="0" fontId="20" fillId="4" borderId="0" xfId="0" applyFont="1" applyFill="1"/>
    <xf numFmtId="0" fontId="7" fillId="4" borderId="0" xfId="0" applyFont="1" applyFill="1"/>
    <xf numFmtId="165" fontId="7" fillId="4" borderId="0" xfId="0" applyNumberFormat="1" applyFont="1" applyFill="1"/>
    <xf numFmtId="0" fontId="8" fillId="4" borderId="0" xfId="0" applyFont="1" applyFill="1" applyBorder="1"/>
    <xf numFmtId="0" fontId="8" fillId="4" borderId="1" xfId="0" applyFont="1" applyFill="1" applyBorder="1"/>
    <xf numFmtId="165" fontId="9" fillId="4" borderId="0" xfId="0" applyNumberFormat="1" applyFont="1" applyFill="1"/>
    <xf numFmtId="0" fontId="8" fillId="4" borderId="1" xfId="0" applyFont="1" applyFill="1" applyBorder="1" applyAlignment="1">
      <alignment wrapText="1"/>
    </xf>
    <xf numFmtId="9" fontId="7" fillId="4" borderId="0" xfId="0" applyNumberFormat="1" applyFont="1" applyFill="1"/>
    <xf numFmtId="165" fontId="8" fillId="4" borderId="1" xfId="0" applyNumberFormat="1" applyFont="1" applyFill="1" applyBorder="1" applyAlignment="1">
      <alignment wrapText="1"/>
    </xf>
    <xf numFmtId="9" fontId="8" fillId="4" borderId="0" xfId="0" applyNumberFormat="1" applyFont="1" applyFill="1"/>
    <xf numFmtId="165" fontId="8" fillId="4" borderId="0" xfId="0" applyNumberFormat="1" applyFont="1" applyFill="1"/>
    <xf numFmtId="0" fontId="9" fillId="4" borderId="0" xfId="0" applyFont="1" applyFill="1"/>
    <xf numFmtId="0" fontId="10" fillId="4" borderId="1" xfId="0" applyFont="1" applyFill="1" applyBorder="1" applyAlignment="1">
      <alignment wrapText="1"/>
    </xf>
    <xf numFmtId="0" fontId="22" fillId="4" borderId="0" xfId="0" applyFont="1" applyFill="1" applyBorder="1"/>
    <xf numFmtId="165" fontId="8" fillId="4" borderId="0" xfId="0" applyNumberFormat="1" applyFont="1" applyFill="1" applyBorder="1" applyAlignment="1">
      <alignment wrapText="1"/>
    </xf>
    <xf numFmtId="9" fontId="8" fillId="4" borderId="0" xfId="0" applyNumberFormat="1" applyFont="1" applyFill="1" applyBorder="1" applyAlignment="1">
      <alignment wrapText="1"/>
    </xf>
    <xf numFmtId="0" fontId="8" fillId="4" borderId="0" xfId="0" applyFont="1" applyFill="1" applyBorder="1" applyAlignment="1">
      <alignment wrapText="1"/>
    </xf>
    <xf numFmtId="0" fontId="17" fillId="4" borderId="0" xfId="0" applyFont="1" applyFill="1" applyAlignment="1">
      <alignment vertical="center"/>
    </xf>
    <xf numFmtId="0" fontId="19" fillId="4" borderId="0" xfId="0" applyFont="1" applyFill="1" applyBorder="1" applyAlignment="1">
      <alignment vertical="center"/>
    </xf>
    <xf numFmtId="0" fontId="18" fillId="4" borderId="0" xfId="0" applyFont="1" applyFill="1" applyBorder="1"/>
    <xf numFmtId="0" fontId="20" fillId="4" borderId="0" xfId="0" applyFont="1" applyFill="1" applyAlignment="1">
      <alignment horizontal="right"/>
    </xf>
    <xf numFmtId="0" fontId="7" fillId="4" borderId="0" xfId="0" applyFont="1" applyFill="1" applyAlignment="1">
      <alignment horizontal="right"/>
    </xf>
    <xf numFmtId="165" fontId="9" fillId="4" borderId="0" xfId="0" applyNumberFormat="1" applyFont="1" applyFill="1" applyBorder="1"/>
    <xf numFmtId="0" fontId="22" fillId="9" borderId="0" xfId="0" applyFont="1" applyFill="1" applyBorder="1"/>
    <xf numFmtId="0" fontId="22" fillId="8" borderId="0" xfId="0" applyFont="1" applyFill="1" applyBorder="1"/>
    <xf numFmtId="0" fontId="22" fillId="4" borderId="0" xfId="0" applyFont="1" applyFill="1" applyBorder="1" applyAlignment="1">
      <alignment wrapText="1"/>
    </xf>
    <xf numFmtId="0" fontId="2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vertical="center"/>
    </xf>
    <xf numFmtId="0" fontId="23" fillId="4" borderId="0" xfId="0" applyFont="1" applyFill="1" applyBorder="1" applyAlignment="1">
      <alignment vertical="center"/>
    </xf>
    <xf numFmtId="0" fontId="26" fillId="4" borderId="0" xfId="0" applyFont="1" applyFill="1" applyBorder="1"/>
    <xf numFmtId="0" fontId="25" fillId="4" borderId="0" xfId="0" applyFont="1" applyFill="1" applyBorder="1"/>
    <xf numFmtId="0" fontId="12" fillId="10" borderId="0" xfId="0" applyFont="1" applyFill="1" applyBorder="1"/>
    <xf numFmtId="0" fontId="26" fillId="4" borderId="0" xfId="0" applyFont="1" applyFill="1" applyBorder="1" applyAlignment="1">
      <alignment horizontal="center"/>
    </xf>
    <xf numFmtId="0" fontId="22" fillId="4" borderId="0" xfId="0" applyFont="1" applyFill="1" applyBorder="1" applyAlignment="1">
      <alignment horizontal="center"/>
    </xf>
    <xf numFmtId="165" fontId="22" fillId="4" borderId="0" xfId="0" applyNumberFormat="1" applyFont="1" applyFill="1" applyBorder="1" applyAlignment="1">
      <alignment wrapText="1"/>
    </xf>
    <xf numFmtId="9" fontId="22" fillId="4" borderId="0" xfId="0" applyNumberFormat="1" applyFont="1" applyFill="1" applyBorder="1" applyAlignment="1">
      <alignment wrapText="1"/>
    </xf>
    <xf numFmtId="165" fontId="22" fillId="4" borderId="0" xfId="0" applyNumberFormat="1" applyFont="1" applyFill="1" applyBorder="1"/>
    <xf numFmtId="165" fontId="22" fillId="4" borderId="0" xfId="0" applyNumberFormat="1" applyFont="1" applyFill="1" applyBorder="1" applyAlignment="1">
      <alignment vertical="top"/>
    </xf>
    <xf numFmtId="0" fontId="22" fillId="4" borderId="0" xfId="0" quotePrefix="1" applyFont="1" applyFill="1" applyBorder="1"/>
    <xf numFmtId="0" fontId="22" fillId="4" borderId="0" xfId="0" applyFont="1" applyFill="1" applyBorder="1" applyAlignment="1">
      <alignment horizontal="left" vertical="top"/>
    </xf>
    <xf numFmtId="0" fontId="12" fillId="4" borderId="0" xfId="0" applyFont="1" applyFill="1" applyBorder="1"/>
    <xf numFmtId="0" fontId="17" fillId="4" borderId="0" xfId="0" applyFont="1" applyFill="1" applyAlignment="1">
      <alignment vertical="center" wrapText="1"/>
    </xf>
    <xf numFmtId="9" fontId="10" fillId="4" borderId="1" xfId="0" applyNumberFormat="1" applyFont="1" applyFill="1" applyBorder="1" applyAlignment="1">
      <alignment wrapText="1"/>
    </xf>
    <xf numFmtId="9" fontId="10" fillId="4" borderId="0" xfId="0" applyNumberFormat="1" applyFont="1" applyFill="1"/>
    <xf numFmtId="9" fontId="10" fillId="4" borderId="1" xfId="1" applyFont="1" applyFill="1" applyBorder="1"/>
    <xf numFmtId="0" fontId="10" fillId="4" borderId="0" xfId="0" applyFont="1" applyFill="1"/>
    <xf numFmtId="0" fontId="5" fillId="4" borderId="0" xfId="0" applyFont="1" applyFill="1" applyBorder="1"/>
    <xf numFmtId="165" fontId="8" fillId="2" borderId="0" xfId="0" applyNumberFormat="1" applyFont="1" applyFill="1" applyBorder="1" applyAlignment="1">
      <alignment wrapText="1"/>
    </xf>
    <xf numFmtId="165" fontId="8" fillId="3" borderId="0" xfId="0" applyNumberFormat="1" applyFont="1" applyFill="1" applyAlignment="1">
      <alignment horizontal="center" vertical="center"/>
    </xf>
    <xf numFmtId="165" fontId="8" fillId="3" borderId="0" xfId="0" applyNumberFormat="1" applyFont="1" applyFill="1" applyAlignment="1">
      <alignment vertical="center"/>
    </xf>
    <xf numFmtId="9" fontId="8" fillId="4" borderId="0" xfId="0" applyNumberFormat="1" applyFont="1" applyFill="1" applyAlignment="1">
      <alignment vertical="center"/>
    </xf>
    <xf numFmtId="0" fontId="8" fillId="4" borderId="0" xfId="0" applyFont="1" applyFill="1" applyAlignment="1">
      <alignment vertical="center"/>
    </xf>
    <xf numFmtId="165" fontId="8" fillId="3" borderId="0" xfId="0" applyNumberFormat="1" applyFont="1" applyFill="1" applyAlignment="1">
      <alignment horizontal="right" vertical="center"/>
    </xf>
    <xf numFmtId="168" fontId="8" fillId="2" borderId="0" xfId="0" applyNumberFormat="1" applyFont="1" applyFill="1" applyAlignment="1">
      <alignment vertical="center" wrapText="1"/>
    </xf>
    <xf numFmtId="0" fontId="28" fillId="4" borderId="0" xfId="0" applyFont="1" applyFill="1" applyAlignment="1">
      <alignment vertical="center"/>
    </xf>
    <xf numFmtId="0" fontId="18" fillId="0" borderId="0" xfId="0" applyFont="1" applyAlignment="1">
      <alignment vertical="center"/>
    </xf>
    <xf numFmtId="0" fontId="8" fillId="4" borderId="0" xfId="0" applyFont="1" applyFill="1" applyBorder="1" applyAlignment="1">
      <alignment vertical="center"/>
    </xf>
    <xf numFmtId="165" fontId="29" fillId="2" borderId="0" xfId="0" applyNumberFormat="1" applyFont="1" applyFill="1" applyBorder="1" applyAlignment="1">
      <alignment wrapText="1"/>
    </xf>
    <xf numFmtId="0" fontId="28" fillId="2" borderId="0" xfId="0" applyFont="1" applyFill="1" applyAlignment="1">
      <alignment vertical="center" wrapText="1"/>
    </xf>
    <xf numFmtId="165" fontId="8" fillId="4" borderId="0" xfId="0" applyNumberFormat="1" applyFont="1" applyFill="1" applyBorder="1"/>
    <xf numFmtId="0" fontId="8" fillId="3" borderId="1" xfId="0" applyFont="1" applyFill="1" applyBorder="1"/>
    <xf numFmtId="165" fontId="8" fillId="3" borderId="1" xfId="0" applyNumberFormat="1" applyFont="1" applyFill="1" applyBorder="1"/>
    <xf numFmtId="9" fontId="10" fillId="4" borderId="1" xfId="0" applyNumberFormat="1" applyFont="1" applyFill="1" applyBorder="1"/>
    <xf numFmtId="9" fontId="8" fillId="3" borderId="1" xfId="1" applyFont="1" applyFill="1" applyBorder="1"/>
    <xf numFmtId="9" fontId="8" fillId="3" borderId="1" xfId="0" applyNumberFormat="1" applyFont="1" applyFill="1" applyBorder="1"/>
    <xf numFmtId="9" fontId="10" fillId="4" borderId="0" xfId="1" applyFont="1" applyFill="1" applyBorder="1"/>
    <xf numFmtId="9" fontId="8" fillId="4" borderId="0" xfId="0" applyNumberFormat="1" applyFont="1" applyFill="1" applyBorder="1"/>
    <xf numFmtId="0" fontId="8" fillId="0" borderId="1" xfId="0" applyFont="1" applyFill="1" applyBorder="1"/>
    <xf numFmtId="165" fontId="8" fillId="0" borderId="1" xfId="0" applyNumberFormat="1" applyFont="1" applyFill="1" applyBorder="1"/>
    <xf numFmtId="0" fontId="30" fillId="4" borderId="0" xfId="2" applyFont="1" applyFill="1"/>
    <xf numFmtId="9" fontId="8" fillId="2" borderId="0" xfId="1" applyFont="1" applyFill="1"/>
    <xf numFmtId="9" fontId="8" fillId="4" borderId="0" xfId="1" applyFont="1" applyFill="1"/>
    <xf numFmtId="9" fontId="8" fillId="4" borderId="1" xfId="1" applyFont="1" applyFill="1" applyBorder="1"/>
    <xf numFmtId="168" fontId="8" fillId="2" borderId="0" xfId="0" applyNumberFormat="1" applyFont="1" applyFill="1"/>
    <xf numFmtId="168" fontId="8" fillId="4" borderId="0" xfId="0" applyNumberFormat="1" applyFont="1" applyFill="1"/>
    <xf numFmtId="9" fontId="8" fillId="3" borderId="0" xfId="1" applyNumberFormat="1" applyFont="1" applyFill="1"/>
    <xf numFmtId="9" fontId="8" fillId="2" borderId="0" xfId="1" applyNumberFormat="1" applyFont="1" applyFill="1"/>
    <xf numFmtId="9" fontId="8" fillId="4" borderId="0" xfId="1" applyNumberFormat="1" applyFont="1" applyFill="1"/>
    <xf numFmtId="9" fontId="8" fillId="3" borderId="1" xfId="1" applyNumberFormat="1" applyFont="1" applyFill="1" applyBorder="1"/>
    <xf numFmtId="0" fontId="4" fillId="0" borderId="0" xfId="2" applyFont="1"/>
    <xf numFmtId="0" fontId="4" fillId="6" borderId="3" xfId="0" applyFont="1" applyFill="1" applyBorder="1" applyAlignment="1">
      <alignment horizontal="left" vertical="center"/>
    </xf>
    <xf numFmtId="0" fontId="4" fillId="7" borderId="4" xfId="0" applyFont="1" applyFill="1" applyBorder="1" applyAlignment="1">
      <alignment horizontal="right" vertical="center"/>
    </xf>
    <xf numFmtId="0" fontId="4" fillId="4" borderId="0" xfId="0" applyFont="1" applyFill="1" applyBorder="1"/>
    <xf numFmtId="0" fontId="4" fillId="10" borderId="0" xfId="0" applyFont="1" applyFill="1" applyBorder="1" applyAlignment="1">
      <alignment vertical="center"/>
    </xf>
    <xf numFmtId="165" fontId="4" fillId="4" borderId="0" xfId="0" applyNumberFormat="1" applyFont="1" applyFill="1" applyBorder="1"/>
    <xf numFmtId="0" fontId="4" fillId="4" borderId="0" xfId="0" applyFont="1" applyFill="1"/>
    <xf numFmtId="165" fontId="4" fillId="4" borderId="0" xfId="0" applyNumberFormat="1" applyFont="1" applyFill="1"/>
    <xf numFmtId="9" fontId="4" fillId="4" borderId="0" xfId="0" applyNumberFormat="1" applyFont="1" applyFill="1"/>
    <xf numFmtId="9" fontId="4" fillId="4" borderId="0" xfId="0" applyNumberFormat="1" applyFont="1" applyFill="1" applyBorder="1"/>
    <xf numFmtId="0" fontId="4" fillId="4" borderId="0" xfId="0" applyFont="1" applyFill="1" applyAlignment="1">
      <alignment horizontal="right"/>
    </xf>
    <xf numFmtId="0" fontId="4" fillId="4" borderId="0" xfId="0" applyFont="1" applyFill="1" applyAlignment="1">
      <alignment vertical="center"/>
    </xf>
    <xf numFmtId="165" fontId="4" fillId="0" borderId="0" xfId="0" applyNumberFormat="1" applyFont="1"/>
    <xf numFmtId="165" fontId="4" fillId="0" borderId="0" xfId="0" applyNumberFormat="1" applyFont="1" applyBorder="1"/>
    <xf numFmtId="0" fontId="4" fillId="4" borderId="0" xfId="0" applyFont="1" applyFill="1" applyBorder="1" applyAlignment="1">
      <alignment wrapText="1"/>
    </xf>
    <xf numFmtId="49" fontId="20" fillId="4" borderId="0" xfId="0" applyNumberFormat="1" applyFont="1" applyFill="1"/>
    <xf numFmtId="49" fontId="20" fillId="4" borderId="0" xfId="0" applyNumberFormat="1" applyFont="1" applyFill="1" applyAlignment="1">
      <alignment horizontal="right"/>
    </xf>
    <xf numFmtId="49" fontId="20" fillId="0" borderId="0" xfId="2" applyNumberFormat="1" applyFont="1"/>
    <xf numFmtId="165" fontId="8" fillId="11" borderId="0" xfId="0" applyNumberFormat="1" applyFont="1" applyFill="1"/>
    <xf numFmtId="0" fontId="0" fillId="0" borderId="0" xfId="0" applyFont="1" applyFill="1"/>
    <xf numFmtId="0" fontId="31" fillId="0" borderId="0" xfId="2" applyFont="1" applyFill="1" applyAlignment="1">
      <alignment horizontal="left"/>
    </xf>
    <xf numFmtId="0" fontId="3" fillId="0" borderId="0" xfId="2" applyFont="1" applyFill="1"/>
    <xf numFmtId="0" fontId="0" fillId="0" borderId="0" xfId="0" applyFill="1" applyBorder="1"/>
    <xf numFmtId="0" fontId="6" fillId="0" borderId="0" xfId="2" applyBorder="1"/>
    <xf numFmtId="0" fontId="16" fillId="0" borderId="0" xfId="2" applyFont="1" applyBorder="1"/>
    <xf numFmtId="0" fontId="0" fillId="4" borderId="0" xfId="0" applyFont="1" applyFill="1"/>
    <xf numFmtId="0" fontId="31" fillId="4" borderId="0" xfId="2" applyFont="1" applyFill="1" applyAlignment="1">
      <alignment horizontal="left"/>
    </xf>
    <xf numFmtId="0" fontId="3" fillId="4" borderId="0" xfId="2" applyFont="1" applyFill="1"/>
    <xf numFmtId="0" fontId="16" fillId="4" borderId="0" xfId="2" applyFont="1" applyFill="1"/>
    <xf numFmtId="0" fontId="21" fillId="4" borderId="0" xfId="2" applyFont="1" applyFill="1" applyAlignment="1">
      <alignment horizontal="left"/>
    </xf>
    <xf numFmtId="0" fontId="0" fillId="4" borderId="0" xfId="0" applyFill="1"/>
    <xf numFmtId="0" fontId="12" fillId="2" borderId="0" xfId="2" applyFont="1" applyFill="1"/>
    <xf numFmtId="0" fontId="21" fillId="4" borderId="0" xfId="2" applyFont="1" applyFill="1" applyAlignment="1">
      <alignment horizontal="center"/>
    </xf>
    <xf numFmtId="0" fontId="12" fillId="0" borderId="0" xfId="2" applyFont="1"/>
    <xf numFmtId="3" fontId="32" fillId="12" borderId="5" xfId="0" applyNumberFormat="1" applyFont="1" applyFill="1" applyBorder="1" applyAlignment="1">
      <alignment vertical="center"/>
    </xf>
    <xf numFmtId="9" fontId="2" fillId="4" borderId="0" xfId="0" applyNumberFormat="1" applyFont="1" applyFill="1"/>
    <xf numFmtId="0" fontId="2" fillId="4" borderId="0" xfId="0" applyFont="1" applyFill="1"/>
    <xf numFmtId="165" fontId="2" fillId="4" borderId="0" xfId="0" applyNumberFormat="1" applyFont="1" applyFill="1"/>
    <xf numFmtId="0" fontId="2" fillId="4" borderId="0" xfId="0" applyFont="1" applyFill="1" applyAlignment="1">
      <alignment vertical="center"/>
    </xf>
    <xf numFmtId="165" fontId="2" fillId="0" borderId="0" xfId="0" applyNumberFormat="1" applyFont="1" applyAlignment="1">
      <alignment vertical="center"/>
    </xf>
    <xf numFmtId="9" fontId="2" fillId="4" borderId="0" xfId="0" applyNumberFormat="1" applyFont="1" applyFill="1" applyAlignment="1">
      <alignment vertical="center"/>
    </xf>
    <xf numFmtId="165" fontId="2" fillId="0" borderId="0" xfId="0" applyNumberFormat="1" applyFont="1"/>
    <xf numFmtId="165" fontId="2" fillId="0" borderId="0" xfId="0" applyNumberFormat="1" applyFont="1" applyBorder="1"/>
    <xf numFmtId="3" fontId="6" fillId="0" borderId="0" xfId="2" applyNumberFormat="1"/>
    <xf numFmtId="171" fontId="8" fillId="3" borderId="0" xfId="0" applyNumberFormat="1" applyFont="1" applyFill="1"/>
    <xf numFmtId="171" fontId="8" fillId="4" borderId="0" xfId="0" applyNumberFormat="1" applyFont="1" applyFill="1"/>
    <xf numFmtId="167" fontId="33" fillId="2" borderId="0" xfId="3" applyNumberFormat="1" applyFont="1" applyFill="1"/>
    <xf numFmtId="167" fontId="8" fillId="2" borderId="0" xfId="3" applyNumberFormat="1" applyFont="1" applyFill="1"/>
    <xf numFmtId="167" fontId="32" fillId="2" borderId="0" xfId="3" applyNumberFormat="1" applyFont="1" applyFill="1"/>
    <xf numFmtId="167" fontId="1" fillId="2" borderId="0" xfId="3" applyNumberFormat="1" applyFont="1" applyFill="1"/>
    <xf numFmtId="167" fontId="32" fillId="0" borderId="0" xfId="3" applyNumberFormat="1" applyFont="1" applyFill="1"/>
    <xf numFmtId="167" fontId="1" fillId="0" borderId="0" xfId="3" applyNumberFormat="1" applyFont="1" applyFill="1"/>
    <xf numFmtId="167" fontId="1" fillId="0" borderId="0" xfId="3" applyNumberFormat="1" applyFont="1"/>
    <xf numFmtId="167" fontId="32" fillId="0" borderId="0" xfId="3" applyNumberFormat="1" applyFont="1"/>
    <xf numFmtId="167" fontId="1" fillId="4" borderId="0" xfId="3" applyNumberFormat="1" applyFont="1" applyFill="1"/>
    <xf numFmtId="167" fontId="1" fillId="0" borderId="0" xfId="3" applyNumberFormat="1" applyFont="1" applyBorder="1"/>
    <xf numFmtId="167" fontId="34" fillId="0" borderId="0" xfId="3" applyNumberFormat="1" applyFont="1" applyFill="1"/>
    <xf numFmtId="167" fontId="34" fillId="0" borderId="0" xfId="3" applyNumberFormat="1" applyFont="1"/>
    <xf numFmtId="167" fontId="1" fillId="0" borderId="0" xfId="2" applyNumberFormat="1" applyFont="1"/>
    <xf numFmtId="166" fontId="1" fillId="8" borderId="0" xfId="2" applyNumberFormat="1" applyFont="1" applyFill="1"/>
    <xf numFmtId="167" fontId="32" fillId="4" borderId="0" xfId="3" applyNumberFormat="1" applyFont="1" applyFill="1"/>
    <xf numFmtId="167" fontId="32" fillId="2" borderId="0" xfId="2" applyNumberFormat="1" applyFont="1" applyFill="1" applyAlignment="1">
      <alignment horizontal="left"/>
    </xf>
    <xf numFmtId="166" fontId="1" fillId="4" borderId="0" xfId="3" applyNumberFormat="1" applyFont="1" applyFill="1" applyAlignment="1">
      <alignment vertical="center"/>
    </xf>
    <xf numFmtId="166" fontId="1" fillId="4" borderId="2" xfId="3" applyNumberFormat="1" applyFont="1" applyFill="1" applyBorder="1" applyAlignment="1">
      <alignment vertical="center"/>
    </xf>
    <xf numFmtId="170" fontId="1" fillId="4" borderId="2" xfId="3" applyNumberFormat="1" applyFont="1" applyFill="1" applyBorder="1" applyAlignment="1">
      <alignment vertical="center"/>
    </xf>
    <xf numFmtId="166" fontId="12" fillId="4" borderId="0" xfId="3" applyNumberFormat="1" applyFont="1" applyFill="1" applyBorder="1" applyAlignment="1">
      <alignment vertical="center"/>
    </xf>
    <xf numFmtId="166" fontId="1" fillId="4" borderId="0" xfId="3" applyNumberFormat="1" applyFont="1" applyFill="1" applyBorder="1" applyAlignment="1">
      <alignment vertical="center"/>
    </xf>
    <xf numFmtId="166" fontId="12" fillId="4" borderId="2" xfId="3" applyNumberFormat="1" applyFont="1" applyFill="1" applyBorder="1" applyAlignment="1">
      <alignment vertical="center"/>
    </xf>
    <xf numFmtId="0" fontId="1" fillId="4" borderId="0" xfId="2" applyFont="1" applyFill="1"/>
    <xf numFmtId="169" fontId="1" fillId="8" borderId="0" xfId="2" applyNumberFormat="1" applyFont="1" applyFill="1"/>
    <xf numFmtId="0" fontId="22" fillId="3" borderId="0" xfId="0" applyFont="1" applyFill="1" applyBorder="1" applyAlignment="1">
      <alignment horizontal="center"/>
    </xf>
    <xf numFmtId="0" fontId="22" fillId="8" borderId="0" xfId="0" applyFont="1" applyFill="1" applyBorder="1" applyAlignment="1">
      <alignment horizontal="center"/>
    </xf>
    <xf numFmtId="165" fontId="22" fillId="8" borderId="0" xfId="0" applyNumberFormat="1" applyFont="1" applyFill="1" applyBorder="1" applyAlignment="1">
      <alignment horizontal="center"/>
    </xf>
    <xf numFmtId="165" fontId="22" fillId="3" borderId="0" xfId="0" applyNumberFormat="1" applyFont="1" applyFill="1" applyBorder="1" applyAlignment="1">
      <alignment horizontal="center"/>
    </xf>
  </cellXfs>
  <cellStyles count="7">
    <cellStyle name="Comma 2" xfId="3" xr:uid="{00000000-0005-0000-0000-000000000000}"/>
    <cellStyle name="Normal" xfId="0" builtinId="0"/>
    <cellStyle name="Normal 2" xfId="2" xr:uid="{00000000-0005-0000-0000-000002000000}"/>
    <cellStyle name="Normal 2 2" xfId="5" xr:uid="{7797DD66-9055-4B8D-8BC5-7976AF4C6481}"/>
    <cellStyle name="Normal 3" xfId="4" xr:uid="{00000000-0005-0000-0000-000003000000}"/>
    <cellStyle name="Percent" xfId="1" builtinId="5"/>
    <cellStyle name="Standard 2" xfId="6" xr:uid="{07641FB4-4BC1-41F1-8139-D3EF0ED284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inma.ch/de/~/media/finma/dokumente/dokumentencenter/myfinma/2ueberwachung/sst/fundamentaldat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finma.ch/de/~/media/finma/dokumente/dokumentencenter/myfinma/2ueberwachung/sst/archiv/fundamentaldaten-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finma.ch/de/~/media/finma/dokumente/dokumentencenter/myfinma/2ueberwachung/sst/archiv/fundamentaldaten-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finma.ch/de/~/media/finma/dokumente/dokumentencenter/myfinma/2ueberwachung/sst/sst-templa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finma.ch/de/~/media/finma/dokumente/dokumentencenter/myfinma/2ueberwachung/sst/archiv/sst-template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damental_Data"/>
      <sheetName val="SST Balance Sheet"/>
    </sheetNames>
    <sheetDataSet>
      <sheetData sheetId="0">
        <row r="45">
          <cell r="C45">
            <v>0</v>
          </cell>
        </row>
        <row r="53">
          <cell r="C53">
            <v>0</v>
          </cell>
        </row>
        <row r="63">
          <cell r="C63">
            <v>0</v>
          </cell>
        </row>
        <row r="65">
          <cell r="C65">
            <v>0</v>
          </cell>
        </row>
        <row r="68">
          <cell r="C68">
            <v>0</v>
          </cell>
        </row>
        <row r="72">
          <cell r="C72">
            <v>0</v>
          </cell>
        </row>
        <row r="73">
          <cell r="C73">
            <v>0</v>
          </cell>
        </row>
        <row r="74">
          <cell r="C74">
            <v>0</v>
          </cell>
        </row>
        <row r="75">
          <cell r="C75">
            <v>0</v>
          </cell>
        </row>
        <row r="76">
          <cell r="C76">
            <v>0</v>
          </cell>
        </row>
        <row r="77">
          <cell r="C77">
            <v>0</v>
          </cell>
        </row>
        <row r="78">
          <cell r="C78">
            <v>0</v>
          </cell>
        </row>
        <row r="79">
          <cell r="C79">
            <v>0</v>
          </cell>
        </row>
        <row r="80">
          <cell r="C80">
            <v>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0</v>
          </cell>
        </row>
        <row r="92">
          <cell r="C92">
            <v>0</v>
          </cell>
        </row>
        <row r="96">
          <cell r="C96"/>
        </row>
        <row r="98">
          <cell r="C98"/>
        </row>
        <row r="100">
          <cell r="C100"/>
        </row>
        <row r="101">
          <cell r="C101">
            <v>0</v>
          </cell>
        </row>
        <row r="104">
          <cell r="C104"/>
        </row>
        <row r="105">
          <cell r="C105"/>
        </row>
        <row r="106">
          <cell r="C106"/>
        </row>
        <row r="107">
          <cell r="C107"/>
        </row>
        <row r="108">
          <cell r="C108"/>
        </row>
        <row r="109">
          <cell r="C109"/>
        </row>
        <row r="110">
          <cell r="C110"/>
        </row>
        <row r="111">
          <cell r="C111"/>
        </row>
        <row r="112">
          <cell r="C112"/>
        </row>
        <row r="113">
          <cell r="C113"/>
        </row>
        <row r="114">
          <cell r="C114"/>
        </row>
        <row r="115">
          <cell r="C115"/>
        </row>
        <row r="116">
          <cell r="C116"/>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damental_Data"/>
    </sheetNames>
    <sheetDataSet>
      <sheetData sheetId="0">
        <row r="45">
          <cell r="C45"/>
        </row>
        <row r="53">
          <cell r="C53">
            <v>0</v>
          </cell>
        </row>
        <row r="64">
          <cell r="C64">
            <v>0</v>
          </cell>
        </row>
        <row r="66">
          <cell r="C66">
            <v>0</v>
          </cell>
        </row>
        <row r="69">
          <cell r="C69">
            <v>0</v>
          </cell>
        </row>
        <row r="73">
          <cell r="C73"/>
        </row>
        <row r="74">
          <cell r="C74"/>
        </row>
        <row r="75">
          <cell r="C75"/>
        </row>
        <row r="76">
          <cell r="C76"/>
        </row>
        <row r="77">
          <cell r="C77"/>
        </row>
        <row r="78">
          <cell r="C78"/>
        </row>
        <row r="79">
          <cell r="C79"/>
        </row>
        <row r="80">
          <cell r="C80"/>
        </row>
        <row r="81">
          <cell r="C81"/>
        </row>
        <row r="82">
          <cell r="C82"/>
        </row>
        <row r="83">
          <cell r="C83"/>
        </row>
        <row r="84">
          <cell r="C84"/>
        </row>
        <row r="85">
          <cell r="C85"/>
        </row>
        <row r="86">
          <cell r="C86"/>
        </row>
        <row r="87">
          <cell r="C87"/>
        </row>
        <row r="88">
          <cell r="C88"/>
        </row>
        <row r="89">
          <cell r="C89"/>
        </row>
        <row r="90">
          <cell r="C90"/>
        </row>
        <row r="92">
          <cell r="C92">
            <v>0</v>
          </cell>
        </row>
        <row r="96">
          <cell r="C96"/>
        </row>
        <row r="98">
          <cell r="C98"/>
        </row>
        <row r="100">
          <cell r="C100"/>
        </row>
        <row r="101">
          <cell r="C101">
            <v>0</v>
          </cell>
        </row>
        <row r="104">
          <cell r="C104"/>
        </row>
        <row r="105">
          <cell r="C105"/>
        </row>
        <row r="106">
          <cell r="C106"/>
        </row>
        <row r="107">
          <cell r="C107"/>
        </row>
        <row r="108">
          <cell r="C108"/>
        </row>
        <row r="109">
          <cell r="C109"/>
        </row>
        <row r="110">
          <cell r="C110"/>
        </row>
        <row r="111">
          <cell r="C111"/>
        </row>
        <row r="112">
          <cell r="C112"/>
        </row>
        <row r="113">
          <cell r="C113"/>
        </row>
        <row r="114">
          <cell r="C114"/>
        </row>
        <row r="115">
          <cell r="C115"/>
        </row>
        <row r="116">
          <cell r="C116"/>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damental_Data"/>
    </sheetNames>
    <sheetDataSet>
      <sheetData sheetId="0">
        <row r="99">
          <cell r="C99">
            <v>0</v>
          </cell>
        </row>
        <row r="102">
          <cell r="C102"/>
        </row>
        <row r="103">
          <cell r="C103"/>
        </row>
        <row r="110">
          <cell r="C110"/>
        </row>
        <row r="112">
          <cell r="C112"/>
        </row>
        <row r="113">
          <cell r="C113"/>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Update"/>
      <sheetName val="SST Checklist"/>
      <sheetName val="Model Changes"/>
      <sheetName val="General Inputs"/>
      <sheetName val="SST Balance Sheet"/>
      <sheetName val="RBC"/>
      <sheetName val="Differences_Stat_SSTBalance"/>
      <sheetName val="Asset Prices"/>
      <sheetName val="Fixed Income"/>
      <sheetName val="Insurance Cashflows"/>
      <sheetName val="Forwards"/>
      <sheetName val="Delta Terms"/>
      <sheetName val="Expected Financial Result"/>
      <sheetName val="Credit Risk Merton"/>
      <sheetName val="Credit Risk Basel"/>
      <sheetName val="Scenarios"/>
      <sheetName val="Life"/>
      <sheetName val="Life (MVM)"/>
      <sheetName val="Non Life"/>
      <sheetName val="Health"/>
      <sheetName val="Non Life and Health (MVM)"/>
      <sheetName val="Other Data"/>
      <sheetName val="Market Initial Values"/>
      <sheetName val="Market (Dynamic)"/>
      <sheetName val="Market (Static)"/>
      <sheetName val="Macroeconomic Scenarios"/>
      <sheetName val="Correlation"/>
      <sheetName val="Credit Risk Parameters"/>
      <sheetName val="Credit Risk Info"/>
      <sheetName val="Stat_SSTBalance Info"/>
      <sheetName val="Glossary"/>
      <sheetName val="General Parameters"/>
      <sheetName val="Configuration"/>
      <sheetName val="Fundamental_Data"/>
    </sheetNames>
    <sheetDataSet>
      <sheetData sheetId="0"/>
      <sheetData sheetId="1"/>
      <sheetData sheetId="2"/>
      <sheetData sheetId="3"/>
      <sheetData sheetId="4"/>
      <sheetData sheetId="5">
        <row r="8">
          <cell r="F8">
            <v>0</v>
          </cell>
        </row>
        <row r="9">
          <cell r="F9">
            <v>0</v>
          </cell>
        </row>
        <row r="10">
          <cell r="F10"/>
        </row>
        <row r="11">
          <cell r="F11"/>
        </row>
        <row r="12">
          <cell r="F12">
            <v>0</v>
          </cell>
        </row>
        <row r="13">
          <cell r="F13"/>
        </row>
        <row r="14">
          <cell r="F14"/>
        </row>
        <row r="15">
          <cell r="F15">
            <v>0</v>
          </cell>
        </row>
        <row r="16">
          <cell r="F16"/>
        </row>
        <row r="17">
          <cell r="F17"/>
        </row>
        <row r="18">
          <cell r="F18"/>
        </row>
        <row r="20">
          <cell r="F20">
            <v>0</v>
          </cell>
        </row>
        <row r="21">
          <cell r="F21">
            <v>0</v>
          </cell>
        </row>
        <row r="22">
          <cell r="F22"/>
        </row>
        <row r="23">
          <cell r="F23"/>
        </row>
        <row r="25">
          <cell r="F25">
            <v>0</v>
          </cell>
        </row>
        <row r="26">
          <cell r="F26"/>
        </row>
        <row r="27">
          <cell r="F27"/>
        </row>
        <row r="29">
          <cell r="F29">
            <v>0</v>
          </cell>
        </row>
        <row r="30">
          <cell r="F30"/>
        </row>
        <row r="31">
          <cell r="F31"/>
        </row>
        <row r="32">
          <cell r="F32"/>
        </row>
        <row r="33">
          <cell r="F33"/>
        </row>
        <row r="34">
          <cell r="F34"/>
        </row>
        <row r="35">
          <cell r="F35"/>
        </row>
        <row r="36">
          <cell r="F36"/>
        </row>
        <row r="37">
          <cell r="F37"/>
        </row>
        <row r="39">
          <cell r="F39">
            <v>0</v>
          </cell>
        </row>
        <row r="40">
          <cell r="F40"/>
        </row>
        <row r="41">
          <cell r="F41"/>
        </row>
        <row r="42">
          <cell r="F42"/>
        </row>
        <row r="44">
          <cell r="F44">
            <v>0</v>
          </cell>
        </row>
        <row r="45">
          <cell r="F45">
            <v>0</v>
          </cell>
        </row>
        <row r="46">
          <cell r="F46"/>
        </row>
        <row r="47">
          <cell r="F47"/>
        </row>
        <row r="48">
          <cell r="F48">
            <v>0</v>
          </cell>
        </row>
        <row r="49">
          <cell r="F49"/>
        </row>
        <row r="50">
          <cell r="F50"/>
        </row>
        <row r="52">
          <cell r="F52">
            <v>0</v>
          </cell>
        </row>
        <row r="53">
          <cell r="F53"/>
        </row>
        <row r="54">
          <cell r="F54"/>
        </row>
        <row r="55">
          <cell r="F55"/>
        </row>
        <row r="57">
          <cell r="F57">
            <v>0</v>
          </cell>
        </row>
        <row r="58">
          <cell r="F58">
            <v>0</v>
          </cell>
        </row>
        <row r="59">
          <cell r="F59"/>
        </row>
        <row r="60">
          <cell r="F60"/>
        </row>
        <row r="61">
          <cell r="F61"/>
        </row>
        <row r="62">
          <cell r="F62"/>
        </row>
        <row r="63">
          <cell r="F63"/>
        </row>
        <row r="64">
          <cell r="F64"/>
        </row>
        <row r="66">
          <cell r="F66">
            <v>0</v>
          </cell>
        </row>
        <row r="67">
          <cell r="F67"/>
        </row>
        <row r="68">
          <cell r="F68"/>
        </row>
        <row r="69">
          <cell r="F69"/>
        </row>
        <row r="71">
          <cell r="F71">
            <v>0</v>
          </cell>
        </row>
        <row r="72">
          <cell r="F72"/>
        </row>
        <row r="73">
          <cell r="F73"/>
        </row>
        <row r="74">
          <cell r="F74"/>
        </row>
        <row r="76">
          <cell r="F76">
            <v>0</v>
          </cell>
        </row>
        <row r="77">
          <cell r="F77"/>
        </row>
        <row r="78">
          <cell r="F78"/>
        </row>
        <row r="80">
          <cell r="F80">
            <v>0</v>
          </cell>
        </row>
        <row r="81">
          <cell r="F81">
            <v>0</v>
          </cell>
        </row>
        <row r="82">
          <cell r="F82"/>
        </row>
        <row r="83">
          <cell r="F83"/>
        </row>
        <row r="84">
          <cell r="F84"/>
        </row>
        <row r="85">
          <cell r="F85"/>
        </row>
        <row r="86">
          <cell r="F86"/>
        </row>
        <row r="88">
          <cell r="F88">
            <v>0</v>
          </cell>
        </row>
        <row r="92">
          <cell r="F92">
            <v>0</v>
          </cell>
        </row>
        <row r="93">
          <cell r="F93"/>
        </row>
        <row r="95">
          <cell r="F95">
            <v>0</v>
          </cell>
        </row>
        <row r="96">
          <cell r="F96"/>
        </row>
        <row r="97">
          <cell r="F97"/>
        </row>
        <row r="98">
          <cell r="F98"/>
        </row>
        <row r="99">
          <cell r="F99"/>
        </row>
        <row r="100">
          <cell r="F100"/>
        </row>
        <row r="101">
          <cell r="F101"/>
        </row>
        <row r="103">
          <cell r="F103">
            <v>0</v>
          </cell>
        </row>
        <row r="104">
          <cell r="F104"/>
        </row>
        <row r="105">
          <cell r="F105"/>
        </row>
        <row r="106">
          <cell r="F106"/>
        </row>
        <row r="107">
          <cell r="F107"/>
        </row>
        <row r="108">
          <cell r="F108"/>
        </row>
        <row r="109">
          <cell r="F109"/>
        </row>
        <row r="111">
          <cell r="F111"/>
        </row>
        <row r="113">
          <cell r="F113">
            <v>0</v>
          </cell>
        </row>
        <row r="114">
          <cell r="F114"/>
        </row>
        <row r="115">
          <cell r="F115"/>
        </row>
        <row r="116">
          <cell r="F116"/>
        </row>
        <row r="118">
          <cell r="F118">
            <v>0</v>
          </cell>
        </row>
        <row r="119">
          <cell r="F119"/>
        </row>
        <row r="120">
          <cell r="F120"/>
        </row>
        <row r="121">
          <cell r="F121"/>
        </row>
        <row r="122">
          <cell r="F122">
            <v>0</v>
          </cell>
        </row>
        <row r="123">
          <cell r="F123"/>
        </row>
        <row r="124">
          <cell r="F124"/>
        </row>
        <row r="125">
          <cell r="F125"/>
        </row>
        <row r="126">
          <cell r="F126"/>
        </row>
        <row r="127">
          <cell r="F127"/>
        </row>
        <row r="128">
          <cell r="F128">
            <v>0</v>
          </cell>
        </row>
        <row r="129">
          <cell r="F129"/>
        </row>
        <row r="130">
          <cell r="F130"/>
        </row>
        <row r="131">
          <cell r="F131"/>
        </row>
        <row r="132">
          <cell r="F132"/>
        </row>
        <row r="133">
          <cell r="F133"/>
        </row>
        <row r="135">
          <cell r="F135">
            <v>0</v>
          </cell>
        </row>
        <row r="136">
          <cell r="F136"/>
        </row>
        <row r="137">
          <cell r="F137"/>
        </row>
        <row r="139">
          <cell r="F139"/>
        </row>
        <row r="141">
          <cell r="F141"/>
        </row>
        <row r="143">
          <cell r="F143">
            <v>0</v>
          </cell>
        </row>
        <row r="144">
          <cell r="F144"/>
        </row>
        <row r="145">
          <cell r="F145">
            <v>0</v>
          </cell>
        </row>
        <row r="146">
          <cell r="F146"/>
        </row>
        <row r="147">
          <cell r="F147"/>
        </row>
        <row r="148">
          <cell r="F148"/>
        </row>
        <row r="149">
          <cell r="F149"/>
        </row>
        <row r="150">
          <cell r="F150"/>
        </row>
        <row r="152">
          <cell r="F152"/>
        </row>
        <row r="154">
          <cell r="F154">
            <v>0</v>
          </cell>
        </row>
        <row r="155">
          <cell r="F155"/>
        </row>
        <row r="156">
          <cell r="F156"/>
        </row>
        <row r="158">
          <cell r="F158"/>
        </row>
        <row r="160">
          <cell r="F160">
            <v>0</v>
          </cell>
        </row>
        <row r="161">
          <cell r="F161"/>
        </row>
        <row r="162">
          <cell r="F162"/>
        </row>
        <row r="163">
          <cell r="F163"/>
        </row>
        <row r="164">
          <cell r="F164"/>
        </row>
        <row r="166">
          <cell r="F166">
            <v>0</v>
          </cell>
        </row>
        <row r="168">
          <cell r="F168">
            <v>0</v>
          </cell>
        </row>
        <row r="172">
          <cell r="F172">
            <v>0</v>
          </cell>
        </row>
        <row r="173">
          <cell r="F173">
            <v>0</v>
          </cell>
        </row>
        <row r="174">
          <cell r="F174">
            <v>0</v>
          </cell>
        </row>
        <row r="175">
          <cell r="F175"/>
        </row>
        <row r="176">
          <cell r="F176"/>
        </row>
        <row r="177">
          <cell r="F177"/>
        </row>
        <row r="178">
          <cell r="F178"/>
        </row>
        <row r="179">
          <cell r="F179"/>
        </row>
        <row r="180">
          <cell r="F180"/>
        </row>
        <row r="181">
          <cell r="F181"/>
        </row>
        <row r="182">
          <cell r="F182"/>
        </row>
        <row r="184">
          <cell r="F184">
            <v>0</v>
          </cell>
        </row>
        <row r="185">
          <cell r="F185"/>
        </row>
        <row r="186">
          <cell r="F186"/>
        </row>
        <row r="187">
          <cell r="F187"/>
        </row>
        <row r="188">
          <cell r="F188"/>
        </row>
        <row r="189">
          <cell r="F189"/>
        </row>
        <row r="190">
          <cell r="F190"/>
        </row>
        <row r="191">
          <cell r="F191"/>
        </row>
        <row r="192">
          <cell r="F192">
            <v>0</v>
          </cell>
        </row>
        <row r="193">
          <cell r="F193"/>
        </row>
        <row r="194">
          <cell r="F194"/>
        </row>
        <row r="195">
          <cell r="F195"/>
        </row>
        <row r="197">
          <cell r="F197">
            <v>0</v>
          </cell>
        </row>
        <row r="198">
          <cell r="F198">
            <v>0</v>
          </cell>
        </row>
        <row r="199">
          <cell r="F199"/>
        </row>
        <row r="200">
          <cell r="F200"/>
        </row>
        <row r="201">
          <cell r="F201"/>
        </row>
        <row r="202">
          <cell r="F202"/>
        </row>
        <row r="203">
          <cell r="F203"/>
        </row>
        <row r="204">
          <cell r="F204"/>
        </row>
        <row r="205">
          <cell r="F205"/>
        </row>
        <row r="206">
          <cell r="F206"/>
        </row>
        <row r="207">
          <cell r="F207"/>
        </row>
        <row r="209">
          <cell r="F209">
            <v>0</v>
          </cell>
        </row>
        <row r="210">
          <cell r="F210"/>
        </row>
        <row r="211">
          <cell r="F211"/>
        </row>
        <row r="212">
          <cell r="F212"/>
        </row>
        <row r="213">
          <cell r="F213"/>
        </row>
        <row r="214">
          <cell r="F214"/>
        </row>
        <row r="215">
          <cell r="F215"/>
        </row>
        <row r="217">
          <cell r="F217"/>
        </row>
        <row r="219">
          <cell r="F219">
            <v>0</v>
          </cell>
        </row>
        <row r="220">
          <cell r="F220"/>
        </row>
        <row r="221">
          <cell r="F221"/>
        </row>
        <row r="222">
          <cell r="F222"/>
        </row>
        <row r="224">
          <cell r="F224"/>
        </row>
        <row r="226">
          <cell r="F226">
            <v>0</v>
          </cell>
        </row>
        <row r="227">
          <cell r="F227"/>
        </row>
        <row r="228">
          <cell r="F228"/>
        </row>
        <row r="229">
          <cell r="F229"/>
        </row>
        <row r="230">
          <cell r="F230"/>
        </row>
        <row r="231">
          <cell r="F231"/>
        </row>
        <row r="232">
          <cell r="F232"/>
        </row>
        <row r="234">
          <cell r="F234"/>
        </row>
        <row r="236">
          <cell r="F236">
            <v>0</v>
          </cell>
        </row>
        <row r="237">
          <cell r="F237"/>
        </row>
        <row r="238">
          <cell r="F238"/>
        </row>
        <row r="240">
          <cell r="F240">
            <v>0</v>
          </cell>
        </row>
        <row r="241">
          <cell r="F241"/>
        </row>
        <row r="242">
          <cell r="F242"/>
        </row>
        <row r="244">
          <cell r="F244">
            <v>0</v>
          </cell>
        </row>
        <row r="245">
          <cell r="F245"/>
        </row>
        <row r="246">
          <cell r="F246"/>
        </row>
        <row r="248">
          <cell r="F248">
            <v>0</v>
          </cell>
        </row>
        <row r="249">
          <cell r="F249">
            <v>0</v>
          </cell>
        </row>
        <row r="250">
          <cell r="F250"/>
        </row>
        <row r="251">
          <cell r="F251"/>
        </row>
        <row r="252">
          <cell r="F252"/>
        </row>
        <row r="253">
          <cell r="F253">
            <v>0</v>
          </cell>
        </row>
        <row r="254">
          <cell r="F254"/>
        </row>
        <row r="255">
          <cell r="F255"/>
        </row>
        <row r="256">
          <cell r="F256"/>
        </row>
        <row r="257">
          <cell r="F257"/>
        </row>
        <row r="258">
          <cell r="F258">
            <v>0</v>
          </cell>
        </row>
        <row r="259">
          <cell r="F259"/>
        </row>
        <row r="260">
          <cell r="F260"/>
        </row>
        <row r="261">
          <cell r="F261"/>
        </row>
        <row r="263">
          <cell r="F263">
            <v>0</v>
          </cell>
        </row>
      </sheetData>
      <sheetData sheetId="6">
        <row r="17">
          <cell r="E17">
            <v>0</v>
          </cell>
        </row>
        <row r="21">
          <cell r="E21">
            <v>0</v>
          </cell>
        </row>
        <row r="36">
          <cell r="E36">
            <v>0</v>
          </cell>
        </row>
        <row r="38">
          <cell r="E38">
            <v>0</v>
          </cell>
        </row>
      </sheetData>
      <sheetData sheetId="7">
        <row r="8">
          <cell r="G8">
            <v>0</v>
          </cell>
        </row>
        <row r="9">
          <cell r="G9">
            <v>0</v>
          </cell>
        </row>
        <row r="10">
          <cell r="G10"/>
        </row>
        <row r="11">
          <cell r="G11"/>
        </row>
        <row r="12">
          <cell r="G12">
            <v>0</v>
          </cell>
        </row>
        <row r="13">
          <cell r="G13"/>
        </row>
        <row r="14">
          <cell r="G14"/>
        </row>
        <row r="15">
          <cell r="G15">
            <v>0</v>
          </cell>
        </row>
        <row r="16">
          <cell r="G16"/>
        </row>
        <row r="17">
          <cell r="G17"/>
        </row>
        <row r="18">
          <cell r="G18"/>
        </row>
        <row r="20">
          <cell r="G20">
            <v>0</v>
          </cell>
        </row>
        <row r="21">
          <cell r="G21">
            <v>0</v>
          </cell>
        </row>
        <row r="22">
          <cell r="G22"/>
        </row>
        <row r="23">
          <cell r="G23"/>
        </row>
        <row r="25">
          <cell r="G25">
            <v>0</v>
          </cell>
        </row>
        <row r="26">
          <cell r="G26"/>
        </row>
        <row r="27">
          <cell r="G27"/>
        </row>
        <row r="29">
          <cell r="G29">
            <v>0</v>
          </cell>
        </row>
        <row r="30">
          <cell r="G30"/>
        </row>
        <row r="31">
          <cell r="G31"/>
        </row>
        <row r="32">
          <cell r="G32"/>
        </row>
        <row r="33">
          <cell r="G33"/>
        </row>
        <row r="34">
          <cell r="G34"/>
        </row>
        <row r="35">
          <cell r="G35"/>
        </row>
        <row r="36">
          <cell r="G36"/>
        </row>
        <row r="37">
          <cell r="G37"/>
        </row>
        <row r="39">
          <cell r="G39">
            <v>0</v>
          </cell>
        </row>
        <row r="40">
          <cell r="G40"/>
        </row>
        <row r="41">
          <cell r="G41"/>
        </row>
        <row r="42">
          <cell r="G42"/>
        </row>
        <row r="44">
          <cell r="G44">
            <v>0</v>
          </cell>
        </row>
        <row r="45">
          <cell r="G45">
            <v>0</v>
          </cell>
        </row>
        <row r="46">
          <cell r="G46"/>
        </row>
        <row r="47">
          <cell r="G47"/>
        </row>
        <row r="48">
          <cell r="G48">
            <v>0</v>
          </cell>
        </row>
        <row r="49">
          <cell r="G49"/>
        </row>
        <row r="50">
          <cell r="G50"/>
        </row>
        <row r="52">
          <cell r="G52">
            <v>0</v>
          </cell>
        </row>
        <row r="53">
          <cell r="G53"/>
        </row>
        <row r="54">
          <cell r="G54"/>
        </row>
        <row r="55">
          <cell r="G55"/>
        </row>
        <row r="57">
          <cell r="G57">
            <v>0</v>
          </cell>
        </row>
        <row r="58">
          <cell r="G58">
            <v>0</v>
          </cell>
        </row>
        <row r="59">
          <cell r="G59"/>
        </row>
        <row r="60">
          <cell r="G60"/>
        </row>
        <row r="61">
          <cell r="G61"/>
        </row>
        <row r="62">
          <cell r="G62"/>
        </row>
        <row r="63">
          <cell r="G63"/>
        </row>
        <row r="64">
          <cell r="G64"/>
        </row>
        <row r="66">
          <cell r="G66">
            <v>0</v>
          </cell>
        </row>
        <row r="67">
          <cell r="G67"/>
        </row>
        <row r="68">
          <cell r="G68"/>
        </row>
        <row r="69">
          <cell r="G69"/>
        </row>
        <row r="71">
          <cell r="G71">
            <v>0</v>
          </cell>
        </row>
        <row r="72">
          <cell r="G72"/>
        </row>
        <row r="73">
          <cell r="G73"/>
        </row>
        <row r="74">
          <cell r="G74"/>
        </row>
        <row r="76">
          <cell r="G76">
            <v>0</v>
          </cell>
        </row>
        <row r="77">
          <cell r="G77"/>
        </row>
        <row r="78">
          <cell r="G78"/>
        </row>
        <row r="80">
          <cell r="G80">
            <v>0</v>
          </cell>
        </row>
        <row r="81">
          <cell r="G81">
            <v>0</v>
          </cell>
        </row>
        <row r="82">
          <cell r="G82"/>
        </row>
        <row r="83">
          <cell r="G83"/>
        </row>
        <row r="84">
          <cell r="G84"/>
        </row>
        <row r="85">
          <cell r="G85"/>
        </row>
        <row r="86">
          <cell r="G86"/>
        </row>
        <row r="88">
          <cell r="G88">
            <v>0</v>
          </cell>
        </row>
        <row r="92">
          <cell r="G92">
            <v>0</v>
          </cell>
        </row>
        <row r="93">
          <cell r="G93"/>
        </row>
        <row r="95">
          <cell r="G95">
            <v>0</v>
          </cell>
        </row>
        <row r="96">
          <cell r="G96"/>
        </row>
        <row r="97">
          <cell r="G97"/>
        </row>
        <row r="98">
          <cell r="G98"/>
        </row>
        <row r="99">
          <cell r="G99"/>
        </row>
        <row r="100">
          <cell r="G100"/>
        </row>
        <row r="101">
          <cell r="G101"/>
        </row>
        <row r="103">
          <cell r="G103">
            <v>0</v>
          </cell>
        </row>
        <row r="104">
          <cell r="G104"/>
        </row>
        <row r="105">
          <cell r="G105"/>
        </row>
        <row r="106">
          <cell r="G106"/>
        </row>
        <row r="107">
          <cell r="G107"/>
        </row>
        <row r="108">
          <cell r="G108"/>
        </row>
        <row r="109">
          <cell r="G109"/>
        </row>
        <row r="111">
          <cell r="G111"/>
        </row>
        <row r="113">
          <cell r="G113">
            <v>0</v>
          </cell>
        </row>
        <row r="114">
          <cell r="G114"/>
        </row>
        <row r="115">
          <cell r="G115"/>
        </row>
        <row r="116">
          <cell r="G116"/>
        </row>
        <row r="118">
          <cell r="G118">
            <v>0</v>
          </cell>
        </row>
        <row r="119">
          <cell r="G119"/>
        </row>
        <row r="120">
          <cell r="G120"/>
        </row>
        <row r="121">
          <cell r="G121"/>
        </row>
        <row r="122">
          <cell r="G122">
            <v>0</v>
          </cell>
        </row>
        <row r="123">
          <cell r="G123"/>
        </row>
        <row r="124">
          <cell r="G124"/>
        </row>
        <row r="125">
          <cell r="G125"/>
        </row>
        <row r="126">
          <cell r="G126"/>
        </row>
        <row r="127">
          <cell r="G127"/>
        </row>
        <row r="128">
          <cell r="G128">
            <v>0</v>
          </cell>
        </row>
        <row r="129">
          <cell r="G129"/>
        </row>
        <row r="130">
          <cell r="G130"/>
        </row>
        <row r="131">
          <cell r="G131"/>
        </row>
        <row r="132">
          <cell r="G132"/>
        </row>
        <row r="133">
          <cell r="G133"/>
        </row>
        <row r="135">
          <cell r="G135">
            <v>0</v>
          </cell>
        </row>
        <row r="136">
          <cell r="G136"/>
        </row>
        <row r="137">
          <cell r="G137"/>
        </row>
        <row r="139">
          <cell r="G139"/>
        </row>
        <row r="141">
          <cell r="G141"/>
        </row>
        <row r="143">
          <cell r="G143">
            <v>0</v>
          </cell>
        </row>
        <row r="144">
          <cell r="G144"/>
        </row>
        <row r="145">
          <cell r="G145">
            <v>0</v>
          </cell>
        </row>
        <row r="146">
          <cell r="G146"/>
        </row>
        <row r="147">
          <cell r="G147"/>
        </row>
        <row r="148">
          <cell r="G148"/>
        </row>
        <row r="149">
          <cell r="G149"/>
        </row>
        <row r="150">
          <cell r="G150"/>
        </row>
        <row r="152">
          <cell r="G152"/>
        </row>
        <row r="154">
          <cell r="G154">
            <v>0</v>
          </cell>
        </row>
        <row r="155">
          <cell r="G155"/>
        </row>
        <row r="156">
          <cell r="G156"/>
        </row>
        <row r="158">
          <cell r="G158"/>
        </row>
        <row r="160">
          <cell r="G160">
            <v>0</v>
          </cell>
        </row>
        <row r="161">
          <cell r="G161"/>
        </row>
        <row r="162">
          <cell r="G162"/>
        </row>
        <row r="163">
          <cell r="G163"/>
        </row>
        <row r="164">
          <cell r="G164"/>
        </row>
        <row r="166">
          <cell r="G166">
            <v>0</v>
          </cell>
        </row>
        <row r="168">
          <cell r="G168">
            <v>0</v>
          </cell>
        </row>
        <row r="172">
          <cell r="G172">
            <v>0</v>
          </cell>
        </row>
        <row r="173">
          <cell r="G173">
            <v>0</v>
          </cell>
        </row>
        <row r="174">
          <cell r="G174">
            <v>0</v>
          </cell>
        </row>
        <row r="175">
          <cell r="G175"/>
        </row>
        <row r="176">
          <cell r="G176"/>
        </row>
        <row r="177">
          <cell r="G177"/>
        </row>
        <row r="178">
          <cell r="G178"/>
        </row>
        <row r="179">
          <cell r="G179"/>
        </row>
        <row r="180">
          <cell r="G180"/>
        </row>
        <row r="181">
          <cell r="G181"/>
        </row>
        <row r="182">
          <cell r="G182"/>
        </row>
        <row r="184">
          <cell r="G184">
            <v>0</v>
          </cell>
        </row>
        <row r="185">
          <cell r="G185"/>
        </row>
        <row r="186">
          <cell r="G186"/>
        </row>
        <row r="187">
          <cell r="G187"/>
        </row>
        <row r="188">
          <cell r="G188"/>
        </row>
        <row r="189">
          <cell r="G189"/>
        </row>
        <row r="190">
          <cell r="G190"/>
        </row>
        <row r="191">
          <cell r="G191"/>
        </row>
        <row r="192">
          <cell r="G192">
            <v>0</v>
          </cell>
        </row>
        <row r="193">
          <cell r="G193"/>
        </row>
        <row r="194">
          <cell r="G194"/>
        </row>
        <row r="195">
          <cell r="G195"/>
        </row>
        <row r="197">
          <cell r="G197">
            <v>0</v>
          </cell>
        </row>
        <row r="198">
          <cell r="G198">
            <v>0</v>
          </cell>
        </row>
        <row r="199">
          <cell r="G199"/>
        </row>
        <row r="200">
          <cell r="G200"/>
        </row>
        <row r="201">
          <cell r="G201"/>
        </row>
        <row r="202">
          <cell r="G202"/>
        </row>
        <row r="203">
          <cell r="G203"/>
        </row>
        <row r="204">
          <cell r="G204"/>
        </row>
        <row r="205">
          <cell r="G205"/>
        </row>
        <row r="206">
          <cell r="G206"/>
        </row>
        <row r="207">
          <cell r="G207"/>
        </row>
        <row r="209">
          <cell r="G209">
            <v>0</v>
          </cell>
        </row>
        <row r="210">
          <cell r="G210"/>
        </row>
        <row r="211">
          <cell r="G211"/>
        </row>
        <row r="212">
          <cell r="G212"/>
        </row>
        <row r="213">
          <cell r="G213"/>
        </row>
        <row r="214">
          <cell r="G214"/>
        </row>
        <row r="215">
          <cell r="G215"/>
        </row>
        <row r="217">
          <cell r="G217"/>
        </row>
        <row r="219">
          <cell r="G219">
            <v>0</v>
          </cell>
        </row>
        <row r="220">
          <cell r="G220"/>
        </row>
        <row r="221">
          <cell r="G221"/>
        </row>
        <row r="222">
          <cell r="G222"/>
        </row>
        <row r="224">
          <cell r="G224"/>
        </row>
        <row r="226">
          <cell r="G226">
            <v>0</v>
          </cell>
        </row>
        <row r="227">
          <cell r="G227"/>
        </row>
        <row r="228">
          <cell r="G228"/>
        </row>
        <row r="229">
          <cell r="G229"/>
        </row>
        <row r="230">
          <cell r="G230"/>
        </row>
        <row r="231">
          <cell r="G231"/>
        </row>
        <row r="232">
          <cell r="G232"/>
        </row>
        <row r="234">
          <cell r="G234"/>
        </row>
        <row r="236">
          <cell r="G236">
            <v>0</v>
          </cell>
        </row>
        <row r="237">
          <cell r="G237"/>
        </row>
        <row r="238">
          <cell r="G238"/>
        </row>
        <row r="240">
          <cell r="G240">
            <v>0</v>
          </cell>
        </row>
        <row r="241">
          <cell r="G241"/>
        </row>
        <row r="242">
          <cell r="G242"/>
        </row>
        <row r="244">
          <cell r="G244">
            <v>0</v>
          </cell>
        </row>
        <row r="245">
          <cell r="G245"/>
        </row>
        <row r="246">
          <cell r="G246"/>
        </row>
        <row r="248">
          <cell r="G248">
            <v>0</v>
          </cell>
        </row>
        <row r="249">
          <cell r="G249">
            <v>0</v>
          </cell>
        </row>
        <row r="250">
          <cell r="G250"/>
        </row>
        <row r="251">
          <cell r="G251"/>
        </row>
        <row r="252">
          <cell r="G252"/>
        </row>
        <row r="253">
          <cell r="G253">
            <v>0</v>
          </cell>
        </row>
        <row r="254">
          <cell r="G254"/>
        </row>
        <row r="255">
          <cell r="G255"/>
        </row>
        <row r="256">
          <cell r="G256"/>
        </row>
        <row r="257">
          <cell r="G257"/>
        </row>
        <row r="258">
          <cell r="G258">
            <v>0</v>
          </cell>
        </row>
        <row r="259">
          <cell r="G259"/>
        </row>
        <row r="260">
          <cell r="G260"/>
        </row>
        <row r="261">
          <cell r="G261"/>
        </row>
        <row r="263">
          <cell r="G263">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Restatement"/>
      <sheetName val="Update"/>
      <sheetName val="SST Checklist"/>
      <sheetName val="Applied Model"/>
      <sheetName val="General Inputs"/>
      <sheetName val="SST Balance Sheet"/>
      <sheetName val="RBC"/>
      <sheetName val="Differences_Stat_SSTBalance"/>
      <sheetName val="Asset Prices"/>
      <sheetName val="Fixed Income"/>
      <sheetName val="Insurance Cashflows"/>
      <sheetName val="Forwards"/>
      <sheetName val="Delta Terms"/>
      <sheetName val="Expected Financial Result"/>
      <sheetName val="Credit Risk Merton"/>
      <sheetName val="Credit Risk Basel"/>
      <sheetName val="Scenarios"/>
      <sheetName val="Life"/>
      <sheetName val="Life (MVM)"/>
      <sheetName val="Non Life"/>
      <sheetName val="Health"/>
      <sheetName val="Other Data"/>
      <sheetName val="Market Initial Values"/>
      <sheetName val="Market (Dynamic)"/>
      <sheetName val="Market (Static)"/>
      <sheetName val="Macroeconomic Scenarios"/>
      <sheetName val="Correlation"/>
      <sheetName val="Credit Risk Parameters"/>
      <sheetName val="Credit Risk Info"/>
      <sheetName val="Stat_SSTBalance Info"/>
      <sheetName val="Glossary"/>
      <sheetName val="General Parameters"/>
      <sheetName val="Configuration"/>
    </sheetNames>
    <sheetDataSet>
      <sheetData sheetId="0"/>
      <sheetData sheetId="1"/>
      <sheetData sheetId="2"/>
      <sheetData sheetId="3"/>
      <sheetData sheetId="4"/>
      <sheetData sheetId="5"/>
      <sheetData sheetId="6">
        <row r="8">
          <cell r="E8">
            <v>0</v>
          </cell>
        </row>
        <row r="9">
          <cell r="E9"/>
        </row>
        <row r="10">
          <cell r="E10"/>
        </row>
        <row r="11">
          <cell r="E11"/>
        </row>
        <row r="12">
          <cell r="E12"/>
        </row>
        <row r="13">
          <cell r="E13"/>
        </row>
        <row r="19">
          <cell r="E19">
            <v>0</v>
          </cell>
        </row>
        <row r="20">
          <cell r="E20">
            <v>0</v>
          </cell>
        </row>
        <row r="21">
          <cell r="E21"/>
        </row>
        <row r="22">
          <cell r="E22"/>
        </row>
        <row r="24">
          <cell r="E24">
            <v>0</v>
          </cell>
        </row>
        <row r="25">
          <cell r="E25"/>
        </row>
        <row r="26">
          <cell r="E26"/>
        </row>
        <row r="28">
          <cell r="E28">
            <v>0</v>
          </cell>
        </row>
        <row r="29">
          <cell r="E29"/>
        </row>
        <row r="30">
          <cell r="E30"/>
        </row>
        <row r="31">
          <cell r="E31"/>
        </row>
        <row r="32">
          <cell r="E32"/>
        </row>
        <row r="33">
          <cell r="E33"/>
        </row>
        <row r="34">
          <cell r="E34"/>
        </row>
        <row r="35">
          <cell r="E35"/>
        </row>
        <row r="36">
          <cell r="E36"/>
        </row>
        <row r="38">
          <cell r="E38">
            <v>0</v>
          </cell>
        </row>
        <row r="39">
          <cell r="E39"/>
        </row>
        <row r="40">
          <cell r="E40"/>
        </row>
        <row r="41">
          <cell r="E41"/>
        </row>
        <row r="43">
          <cell r="E43">
            <v>0</v>
          </cell>
        </row>
        <row r="44">
          <cell r="E44">
            <v>0</v>
          </cell>
        </row>
        <row r="45">
          <cell r="E45"/>
        </row>
        <row r="46">
          <cell r="E46"/>
        </row>
        <row r="47">
          <cell r="E47">
            <v>0</v>
          </cell>
        </row>
        <row r="48">
          <cell r="E48"/>
        </row>
        <row r="49">
          <cell r="E49"/>
        </row>
        <row r="51">
          <cell r="E51">
            <v>0</v>
          </cell>
        </row>
        <row r="52">
          <cell r="E52"/>
        </row>
        <row r="53">
          <cell r="E53"/>
        </row>
        <row r="54">
          <cell r="E54"/>
        </row>
        <row r="56">
          <cell r="E56">
            <v>0</v>
          </cell>
        </row>
        <row r="57">
          <cell r="E57">
            <v>0</v>
          </cell>
        </row>
        <row r="58">
          <cell r="E58"/>
        </row>
        <row r="59">
          <cell r="E59"/>
        </row>
        <row r="60">
          <cell r="E60"/>
        </row>
        <row r="61">
          <cell r="E61"/>
        </row>
        <row r="62">
          <cell r="E62"/>
        </row>
        <row r="63">
          <cell r="E63"/>
        </row>
        <row r="65">
          <cell r="E65">
            <v>0</v>
          </cell>
        </row>
        <row r="66">
          <cell r="E66"/>
        </row>
        <row r="67">
          <cell r="E67"/>
        </row>
        <row r="68">
          <cell r="E68"/>
        </row>
        <row r="70">
          <cell r="E70">
            <v>0</v>
          </cell>
        </row>
        <row r="71">
          <cell r="E71"/>
        </row>
        <row r="72">
          <cell r="E72"/>
        </row>
        <row r="73">
          <cell r="E73"/>
        </row>
        <row r="75">
          <cell r="E75">
            <v>0</v>
          </cell>
        </row>
        <row r="76">
          <cell r="E76"/>
        </row>
        <row r="77">
          <cell r="E77"/>
        </row>
        <row r="79">
          <cell r="E79">
            <v>0</v>
          </cell>
        </row>
        <row r="80">
          <cell r="E80">
            <v>0</v>
          </cell>
        </row>
        <row r="81">
          <cell r="E81"/>
        </row>
        <row r="82">
          <cell r="E82"/>
        </row>
        <row r="83">
          <cell r="E83"/>
        </row>
        <row r="84">
          <cell r="E84"/>
        </row>
        <row r="85">
          <cell r="E85"/>
        </row>
        <row r="87">
          <cell r="E87"/>
        </row>
        <row r="89">
          <cell r="E89">
            <v>0</v>
          </cell>
        </row>
        <row r="93">
          <cell r="E93">
            <v>0</v>
          </cell>
        </row>
        <row r="94">
          <cell r="E94"/>
        </row>
        <row r="96">
          <cell r="E96">
            <v>0</v>
          </cell>
        </row>
        <row r="97">
          <cell r="E97"/>
        </row>
        <row r="98">
          <cell r="E98"/>
        </row>
        <row r="99">
          <cell r="E99"/>
        </row>
        <row r="100">
          <cell r="E100"/>
        </row>
        <row r="101">
          <cell r="E101"/>
        </row>
        <row r="102">
          <cell r="E102"/>
        </row>
        <row r="106">
          <cell r="E106">
            <v>0</v>
          </cell>
        </row>
        <row r="107">
          <cell r="E107"/>
        </row>
        <row r="108">
          <cell r="E108"/>
        </row>
        <row r="109">
          <cell r="E109"/>
        </row>
        <row r="110">
          <cell r="E110"/>
        </row>
        <row r="111">
          <cell r="E111"/>
        </row>
        <row r="112">
          <cell r="E112"/>
        </row>
        <row r="114">
          <cell r="E114"/>
        </row>
        <row r="116">
          <cell r="E116">
            <v>0</v>
          </cell>
        </row>
        <row r="117">
          <cell r="E117"/>
        </row>
        <row r="118">
          <cell r="E118"/>
        </row>
        <row r="119">
          <cell r="E119"/>
        </row>
        <row r="121">
          <cell r="E121">
            <v>0</v>
          </cell>
        </row>
        <row r="122">
          <cell r="E122"/>
        </row>
        <row r="123">
          <cell r="E123"/>
        </row>
        <row r="124">
          <cell r="E124"/>
        </row>
        <row r="125">
          <cell r="E125"/>
        </row>
        <row r="126">
          <cell r="E126"/>
        </row>
        <row r="127">
          <cell r="E127"/>
        </row>
        <row r="128">
          <cell r="E128"/>
        </row>
        <row r="129">
          <cell r="E129"/>
        </row>
        <row r="130">
          <cell r="E130"/>
        </row>
        <row r="133">
          <cell r="E133"/>
        </row>
        <row r="134">
          <cell r="E134"/>
        </row>
        <row r="136">
          <cell r="E136">
            <v>0</v>
          </cell>
        </row>
        <row r="137">
          <cell r="E137"/>
        </row>
        <row r="138">
          <cell r="E138"/>
        </row>
        <row r="140">
          <cell r="E140"/>
        </row>
        <row r="142">
          <cell r="E142"/>
        </row>
        <row r="144">
          <cell r="E144">
            <v>0</v>
          </cell>
        </row>
        <row r="145">
          <cell r="E145"/>
        </row>
        <row r="146">
          <cell r="E146">
            <v>0</v>
          </cell>
        </row>
        <row r="147">
          <cell r="E147"/>
        </row>
        <row r="148">
          <cell r="E148"/>
        </row>
        <row r="149">
          <cell r="E149"/>
        </row>
        <row r="153">
          <cell r="E153"/>
        </row>
        <row r="155">
          <cell r="E155">
            <v>0</v>
          </cell>
        </row>
        <row r="156">
          <cell r="E156"/>
        </row>
        <row r="157">
          <cell r="E157"/>
        </row>
        <row r="159">
          <cell r="E159"/>
        </row>
        <row r="161">
          <cell r="E161">
            <v>0</v>
          </cell>
        </row>
        <row r="162">
          <cell r="E162"/>
        </row>
        <row r="163">
          <cell r="E163"/>
        </row>
        <row r="164">
          <cell r="E164"/>
        </row>
        <row r="165">
          <cell r="E165"/>
        </row>
        <row r="167">
          <cell r="E167">
            <v>0</v>
          </cell>
        </row>
        <row r="169">
          <cell r="E169">
            <v>0</v>
          </cell>
        </row>
        <row r="173">
          <cell r="E173">
            <v>0</v>
          </cell>
        </row>
        <row r="174">
          <cell r="E174">
            <v>0</v>
          </cell>
        </row>
        <row r="175">
          <cell r="E175">
            <v>0</v>
          </cell>
        </row>
        <row r="176">
          <cell r="E176"/>
        </row>
        <row r="177">
          <cell r="E177"/>
        </row>
        <row r="178">
          <cell r="E178"/>
        </row>
        <row r="179">
          <cell r="E179"/>
        </row>
        <row r="180">
          <cell r="E180"/>
        </row>
        <row r="181">
          <cell r="E181"/>
        </row>
        <row r="182">
          <cell r="E182"/>
        </row>
        <row r="183">
          <cell r="E183"/>
        </row>
        <row r="185">
          <cell r="E185">
            <v>0</v>
          </cell>
        </row>
        <row r="188">
          <cell r="E188"/>
        </row>
        <row r="189">
          <cell r="E189"/>
        </row>
        <row r="190">
          <cell r="E190"/>
        </row>
        <row r="191">
          <cell r="E191"/>
        </row>
        <row r="192">
          <cell r="E192"/>
        </row>
        <row r="194">
          <cell r="E194">
            <v>0</v>
          </cell>
        </row>
        <row r="198">
          <cell r="E198"/>
        </row>
        <row r="199">
          <cell r="E199"/>
        </row>
        <row r="200">
          <cell r="E200"/>
        </row>
        <row r="201">
          <cell r="E201"/>
        </row>
        <row r="202">
          <cell r="E202"/>
        </row>
        <row r="203">
          <cell r="E203"/>
        </row>
        <row r="208">
          <cell r="E208">
            <v>0</v>
          </cell>
        </row>
        <row r="209">
          <cell r="E209"/>
        </row>
        <row r="210">
          <cell r="E210"/>
        </row>
        <row r="211">
          <cell r="E211"/>
        </row>
        <row r="212">
          <cell r="E212"/>
        </row>
        <row r="213">
          <cell r="E213"/>
        </row>
        <row r="214">
          <cell r="E214"/>
        </row>
        <row r="216">
          <cell r="E216"/>
        </row>
        <row r="218">
          <cell r="E218">
            <v>0</v>
          </cell>
        </row>
        <row r="219">
          <cell r="E219"/>
        </row>
        <row r="220">
          <cell r="E220"/>
        </row>
        <row r="221">
          <cell r="E221"/>
        </row>
        <row r="223">
          <cell r="E223"/>
        </row>
        <row r="225">
          <cell r="E225">
            <v>0</v>
          </cell>
        </row>
        <row r="226">
          <cell r="E226"/>
        </row>
        <row r="227">
          <cell r="E227"/>
        </row>
        <row r="228">
          <cell r="E228"/>
        </row>
        <row r="229">
          <cell r="E229"/>
        </row>
        <row r="230">
          <cell r="E230"/>
        </row>
        <row r="231">
          <cell r="E231"/>
        </row>
        <row r="233">
          <cell r="E233"/>
        </row>
        <row r="235">
          <cell r="E235">
            <v>0</v>
          </cell>
        </row>
        <row r="236">
          <cell r="E236"/>
        </row>
        <row r="237">
          <cell r="E237"/>
        </row>
        <row r="239">
          <cell r="E239">
            <v>0</v>
          </cell>
        </row>
        <row r="240">
          <cell r="E240"/>
        </row>
        <row r="241">
          <cell r="E241"/>
        </row>
        <row r="243">
          <cell r="E243">
            <v>0</v>
          </cell>
        </row>
        <row r="244">
          <cell r="E244"/>
        </row>
        <row r="245">
          <cell r="E245"/>
        </row>
        <row r="247">
          <cell r="E247">
            <v>0</v>
          </cell>
        </row>
        <row r="254">
          <cell r="E254">
            <v>0</v>
          </cell>
        </row>
      </sheetData>
      <sheetData sheetId="7">
        <row r="16">
          <cell r="E16">
            <v>0</v>
          </cell>
        </row>
        <row r="20">
          <cell r="E20">
            <v>0</v>
          </cell>
        </row>
        <row r="35">
          <cell r="E35">
            <v>0</v>
          </cell>
        </row>
        <row r="37">
          <cell r="E37">
            <v>0</v>
          </cell>
        </row>
      </sheetData>
      <sheetData sheetId="8">
        <row r="8">
          <cell r="F8">
            <v>0</v>
          </cell>
        </row>
        <row r="9">
          <cell r="F9"/>
        </row>
        <row r="10">
          <cell r="F10"/>
        </row>
        <row r="11">
          <cell r="F11"/>
        </row>
        <row r="12">
          <cell r="F12"/>
        </row>
        <row r="13">
          <cell r="F13"/>
        </row>
        <row r="19">
          <cell r="F19">
            <v>0</v>
          </cell>
        </row>
        <row r="20">
          <cell r="F20">
            <v>0</v>
          </cell>
        </row>
        <row r="21">
          <cell r="F21"/>
        </row>
        <row r="22">
          <cell r="F22"/>
        </row>
        <row r="24">
          <cell r="F24">
            <v>0</v>
          </cell>
        </row>
        <row r="25">
          <cell r="F25"/>
        </row>
        <row r="26">
          <cell r="F26"/>
        </row>
        <row r="28">
          <cell r="F28">
            <v>0</v>
          </cell>
        </row>
        <row r="29">
          <cell r="F29"/>
        </row>
        <row r="30">
          <cell r="F30"/>
        </row>
        <row r="31">
          <cell r="F31"/>
        </row>
        <row r="32">
          <cell r="F32"/>
        </row>
        <row r="33">
          <cell r="F33"/>
        </row>
        <row r="34">
          <cell r="F34"/>
        </row>
        <row r="35">
          <cell r="F35"/>
        </row>
        <row r="36">
          <cell r="F36"/>
        </row>
        <row r="38">
          <cell r="F38">
            <v>0</v>
          </cell>
        </row>
        <row r="39">
          <cell r="F39"/>
        </row>
        <row r="40">
          <cell r="F40"/>
        </row>
        <row r="41">
          <cell r="F41"/>
        </row>
        <row r="43">
          <cell r="F43">
            <v>0</v>
          </cell>
        </row>
        <row r="44">
          <cell r="F44">
            <v>0</v>
          </cell>
        </row>
        <row r="45">
          <cell r="F45"/>
        </row>
        <row r="46">
          <cell r="F46"/>
        </row>
        <row r="47">
          <cell r="F47">
            <v>0</v>
          </cell>
        </row>
        <row r="48">
          <cell r="F48"/>
        </row>
        <row r="49">
          <cell r="F49"/>
        </row>
        <row r="51">
          <cell r="F51">
            <v>0</v>
          </cell>
        </row>
        <row r="52">
          <cell r="F52"/>
        </row>
        <row r="53">
          <cell r="F53"/>
        </row>
        <row r="54">
          <cell r="F54"/>
        </row>
        <row r="56">
          <cell r="F56">
            <v>0</v>
          </cell>
        </row>
        <row r="57">
          <cell r="F57">
            <v>0</v>
          </cell>
        </row>
        <row r="58">
          <cell r="F58"/>
        </row>
        <row r="59">
          <cell r="F59"/>
        </row>
        <row r="60">
          <cell r="F60"/>
        </row>
        <row r="61">
          <cell r="F61"/>
        </row>
        <row r="62">
          <cell r="F62"/>
        </row>
        <row r="63">
          <cell r="F63"/>
        </row>
        <row r="65">
          <cell r="F65">
            <v>0</v>
          </cell>
        </row>
        <row r="66">
          <cell r="F66"/>
        </row>
        <row r="67">
          <cell r="F67"/>
        </row>
        <row r="68">
          <cell r="F68"/>
        </row>
        <row r="70">
          <cell r="F70">
            <v>0</v>
          </cell>
        </row>
        <row r="71">
          <cell r="F71"/>
        </row>
        <row r="72">
          <cell r="F72"/>
        </row>
        <row r="73">
          <cell r="F73"/>
        </row>
        <row r="75">
          <cell r="F75">
            <v>0</v>
          </cell>
        </row>
        <row r="76">
          <cell r="F76"/>
        </row>
        <row r="77">
          <cell r="F77"/>
        </row>
        <row r="79">
          <cell r="F79">
            <v>0</v>
          </cell>
        </row>
        <row r="80">
          <cell r="F80">
            <v>0</v>
          </cell>
        </row>
        <row r="81">
          <cell r="F81"/>
        </row>
        <row r="82">
          <cell r="F82"/>
        </row>
        <row r="83">
          <cell r="F83"/>
        </row>
        <row r="84">
          <cell r="F84"/>
        </row>
        <row r="85">
          <cell r="F85"/>
        </row>
        <row r="87">
          <cell r="F87"/>
        </row>
        <row r="89">
          <cell r="F89">
            <v>0</v>
          </cell>
        </row>
        <row r="93">
          <cell r="F93">
            <v>0</v>
          </cell>
        </row>
        <row r="94">
          <cell r="F94"/>
        </row>
        <row r="96">
          <cell r="F96">
            <v>0</v>
          </cell>
        </row>
        <row r="97">
          <cell r="F97"/>
        </row>
        <row r="98">
          <cell r="F98"/>
        </row>
        <row r="99">
          <cell r="F99"/>
        </row>
        <row r="100">
          <cell r="F100"/>
        </row>
        <row r="101">
          <cell r="F101"/>
        </row>
        <row r="102">
          <cell r="F102"/>
        </row>
        <row r="106">
          <cell r="F106">
            <v>0</v>
          </cell>
        </row>
        <row r="107">
          <cell r="F107"/>
        </row>
        <row r="108">
          <cell r="F108"/>
        </row>
        <row r="109">
          <cell r="F109"/>
        </row>
        <row r="110">
          <cell r="F110"/>
        </row>
        <row r="111">
          <cell r="F111"/>
        </row>
        <row r="112">
          <cell r="F112"/>
        </row>
        <row r="114">
          <cell r="F114"/>
        </row>
        <row r="116">
          <cell r="F116">
            <v>0</v>
          </cell>
        </row>
        <row r="117">
          <cell r="F117"/>
        </row>
        <row r="118">
          <cell r="F118"/>
        </row>
        <row r="119">
          <cell r="F119"/>
        </row>
        <row r="121">
          <cell r="F121">
            <v>0</v>
          </cell>
        </row>
        <row r="122">
          <cell r="F122"/>
        </row>
        <row r="123">
          <cell r="F123"/>
        </row>
        <row r="124">
          <cell r="F124"/>
        </row>
        <row r="125">
          <cell r="F125"/>
        </row>
        <row r="126">
          <cell r="F126"/>
        </row>
        <row r="127">
          <cell r="F127"/>
        </row>
        <row r="128">
          <cell r="F128"/>
        </row>
        <row r="129">
          <cell r="F129"/>
        </row>
        <row r="130">
          <cell r="F130"/>
        </row>
        <row r="133">
          <cell r="F133"/>
        </row>
        <row r="134">
          <cell r="F134"/>
        </row>
        <row r="136">
          <cell r="F136">
            <v>0</v>
          </cell>
        </row>
        <row r="137">
          <cell r="F137"/>
        </row>
        <row r="138">
          <cell r="F138"/>
        </row>
        <row r="140">
          <cell r="F140"/>
        </row>
        <row r="142">
          <cell r="F142"/>
        </row>
        <row r="144">
          <cell r="F144">
            <v>0</v>
          </cell>
        </row>
        <row r="145">
          <cell r="F145"/>
        </row>
        <row r="146">
          <cell r="F146">
            <v>0</v>
          </cell>
        </row>
        <row r="147">
          <cell r="F147"/>
        </row>
        <row r="148">
          <cell r="F148"/>
        </row>
        <row r="149">
          <cell r="F149"/>
        </row>
        <row r="153">
          <cell r="F153"/>
        </row>
        <row r="155">
          <cell r="F155">
            <v>0</v>
          </cell>
        </row>
        <row r="156">
          <cell r="F156"/>
        </row>
        <row r="157">
          <cell r="F157"/>
        </row>
        <row r="159">
          <cell r="F159"/>
        </row>
        <row r="161">
          <cell r="F161">
            <v>0</v>
          </cell>
        </row>
        <row r="162">
          <cell r="F162"/>
        </row>
        <row r="163">
          <cell r="F163"/>
        </row>
        <row r="164">
          <cell r="F164"/>
        </row>
        <row r="165">
          <cell r="F165"/>
        </row>
        <row r="167">
          <cell r="F167">
            <v>0</v>
          </cell>
        </row>
        <row r="169">
          <cell r="F169">
            <v>0</v>
          </cell>
        </row>
        <row r="173">
          <cell r="F173">
            <v>0</v>
          </cell>
        </row>
        <row r="174">
          <cell r="F174">
            <v>0</v>
          </cell>
        </row>
        <row r="175">
          <cell r="F175">
            <v>0</v>
          </cell>
        </row>
        <row r="176">
          <cell r="F176"/>
        </row>
        <row r="177">
          <cell r="F177"/>
        </row>
        <row r="178">
          <cell r="F178"/>
        </row>
        <row r="179">
          <cell r="F179"/>
        </row>
        <row r="180">
          <cell r="F180"/>
        </row>
        <row r="181">
          <cell r="F181"/>
        </row>
        <row r="182">
          <cell r="F182"/>
        </row>
        <row r="183">
          <cell r="F183"/>
        </row>
        <row r="185">
          <cell r="F185">
            <v>0</v>
          </cell>
        </row>
        <row r="188">
          <cell r="F188"/>
        </row>
        <row r="189">
          <cell r="F189"/>
        </row>
        <row r="190">
          <cell r="F190"/>
        </row>
        <row r="191">
          <cell r="F191"/>
        </row>
        <row r="192">
          <cell r="F192"/>
        </row>
        <row r="194">
          <cell r="F194">
            <v>0</v>
          </cell>
        </row>
        <row r="198">
          <cell r="F198"/>
        </row>
        <row r="199">
          <cell r="F199"/>
        </row>
        <row r="200">
          <cell r="F200"/>
        </row>
        <row r="201">
          <cell r="F201"/>
        </row>
        <row r="202">
          <cell r="F202"/>
        </row>
        <row r="203">
          <cell r="F203"/>
        </row>
        <row r="208">
          <cell r="F208">
            <v>0</v>
          </cell>
        </row>
        <row r="209">
          <cell r="F209"/>
        </row>
        <row r="210">
          <cell r="F210"/>
        </row>
        <row r="211">
          <cell r="F211"/>
        </row>
        <row r="212">
          <cell r="F212"/>
        </row>
        <row r="213">
          <cell r="F213"/>
        </row>
        <row r="214">
          <cell r="F214"/>
        </row>
        <row r="216">
          <cell r="F216"/>
        </row>
        <row r="218">
          <cell r="F218">
            <v>0</v>
          </cell>
        </row>
        <row r="219">
          <cell r="F219"/>
        </row>
        <row r="220">
          <cell r="F220"/>
        </row>
        <row r="221">
          <cell r="F221"/>
        </row>
        <row r="223">
          <cell r="F223"/>
        </row>
        <row r="225">
          <cell r="F225">
            <v>0</v>
          </cell>
        </row>
        <row r="226">
          <cell r="F226"/>
        </row>
        <row r="227">
          <cell r="F227"/>
        </row>
        <row r="228">
          <cell r="F228"/>
        </row>
        <row r="229">
          <cell r="F229"/>
        </row>
        <row r="230">
          <cell r="F230"/>
        </row>
        <row r="231">
          <cell r="F231"/>
        </row>
        <row r="233">
          <cell r="F233"/>
        </row>
        <row r="235">
          <cell r="F235">
            <v>0</v>
          </cell>
        </row>
        <row r="236">
          <cell r="F236"/>
        </row>
        <row r="237">
          <cell r="F237"/>
        </row>
        <row r="239">
          <cell r="F239">
            <v>0</v>
          </cell>
        </row>
        <row r="240">
          <cell r="F240"/>
        </row>
        <row r="241">
          <cell r="F241"/>
        </row>
        <row r="243">
          <cell r="F243">
            <v>0</v>
          </cell>
        </row>
        <row r="244">
          <cell r="F244"/>
        </row>
        <row r="245">
          <cell r="F245"/>
        </row>
        <row r="247">
          <cell r="F247">
            <v>0</v>
          </cell>
        </row>
        <row r="254">
          <cell r="F254">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L104"/>
  <sheetViews>
    <sheetView tabSelected="1" workbookViewId="0">
      <selection activeCell="E4" sqref="E4"/>
    </sheetView>
  </sheetViews>
  <sheetFormatPr defaultColWidth="8.7265625" defaultRowHeight="14.5"/>
  <cols>
    <col min="1" max="1" width="2.81640625" style="36" bestFit="1" customWidth="1"/>
    <col min="2" max="2" width="12" style="36" customWidth="1"/>
    <col min="3" max="3" width="15.54296875" style="36" customWidth="1"/>
    <col min="4" max="4" width="20.81640625" style="36" customWidth="1"/>
    <col min="5" max="5" width="23.54296875" style="36" customWidth="1"/>
    <col min="6" max="8" width="8.7265625" style="36"/>
    <col min="9" max="11" width="8.7265625" style="36" customWidth="1"/>
    <col min="12" max="16384" width="8.7265625" style="36"/>
  </cols>
  <sheetData>
    <row r="1" spans="1:5" ht="20">
      <c r="A1" s="35"/>
      <c r="B1" s="35" t="str">
        <f>VLOOKUP("T0.12",Glossary,2,FALSE)</f>
        <v>Hilfstabellen für den SST-Bericht 2025</v>
      </c>
    </row>
    <row r="4" spans="1:5">
      <c r="B4" s="128" t="s">
        <v>0</v>
      </c>
      <c r="C4" s="37"/>
      <c r="D4" s="37"/>
      <c r="E4" s="129" t="s">
        <v>24</v>
      </c>
    </row>
    <row r="5" spans="1:5">
      <c r="B5" s="130"/>
    </row>
    <row r="6" spans="1:5">
      <c r="B6" s="128" t="str">
        <f>Glossary!C10</f>
        <v>SST-Jahr</v>
      </c>
      <c r="C6" s="37"/>
      <c r="D6" s="37"/>
      <c r="E6" s="131">
        <v>2025</v>
      </c>
    </row>
    <row r="7" spans="1:5">
      <c r="B7" s="130"/>
      <c r="C7" s="132"/>
      <c r="D7" s="132"/>
    </row>
    <row r="8" spans="1:5">
      <c r="B8" s="128" t="str">
        <f>Glossary!C7</f>
        <v>SST-Währung</v>
      </c>
      <c r="C8" s="37"/>
      <c r="D8" s="37"/>
      <c r="E8" s="129" t="s">
        <v>997</v>
      </c>
    </row>
    <row r="9" spans="1:5">
      <c r="B9" s="130"/>
      <c r="D9" s="132"/>
    </row>
    <row r="10" spans="1:5">
      <c r="B10" s="132"/>
      <c r="C10" s="132"/>
      <c r="D10" s="132"/>
    </row>
    <row r="11" spans="1:5">
      <c r="B11" s="88" t="str">
        <f>VLOOKUP("T0.13",Glossary,2,FALSE)</f>
        <v>Bemerkungen</v>
      </c>
      <c r="C11" s="132"/>
      <c r="D11" s="132"/>
    </row>
    <row r="12" spans="1:5">
      <c r="B12" s="130" t="str">
        <f>VLOOKUP("T0.15",Glossary,2,FALSE)</f>
        <v>Das vorliegende Excel-Sheet ist als Hilfsmittel gedacht, um die in der (Opt-In)-Vorlage für den SST-Bericht für Gesellschaften der Kategorie 4 und 5 verlangten Tabellen erstellen zu können.</v>
      </c>
      <c r="C12" s="132"/>
      <c r="D12" s="132"/>
    </row>
    <row r="13" spans="1:5">
      <c r="C13" s="132"/>
      <c r="D13" s="132"/>
    </row>
    <row r="14" spans="1:5">
      <c r="B14" s="130" t="str">
        <f>VLOOKUP("T0.14",Glossary,2,FALSE)</f>
        <v>Bitte führen Sie folgenden Schritt durch, um Ihre Daten in die SST-Berichtstabellen zu laden :</v>
      </c>
      <c r="C14" s="132"/>
      <c r="D14" s="132"/>
    </row>
    <row r="15" spans="1:5">
      <c r="B15" s="130" t="str">
        <f>VLOOKUP("T0.16",Glossary,2,FALSE)</f>
        <v>&gt; Daten &gt; Bearbeiten von Links</v>
      </c>
      <c r="C15" s="132"/>
      <c r="D15" s="132"/>
    </row>
    <row r="16" spans="1:5">
      <c r="B16" s="130"/>
      <c r="C16" s="132"/>
      <c r="D16" s="132"/>
    </row>
    <row r="17" s="94" customFormat="1" ht="12.5"/>
    <row r="104" spans="12:12">
      <c r="L104" s="38"/>
    </row>
  </sheetData>
  <dataValidations count="1">
    <dataValidation type="list" allowBlank="1" showInputMessage="1" showErrorMessage="1" sqref="E8" xr:uid="{00000000-0002-0000-0000-000000000000}">
      <formula1>"CHF,EUR,USD,GBP,JPY"</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Glossary!$D$9:$F$9</xm:f>
          </x14:formula1>
          <xm:sqref>E4</xm:sqref>
        </x14:dataValidation>
        <x14:dataValidation type="list" allowBlank="1" showInputMessage="1" showErrorMessage="1" xr:uid="{00000000-0002-0000-0000-000002000000}">
          <x14:formula1>
            <xm:f>Glossary!#REF!</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0"/>
  <sheetViews>
    <sheetView zoomScale="120" zoomScaleNormal="120" workbookViewId="0">
      <selection activeCell="B1" sqref="B1"/>
    </sheetView>
  </sheetViews>
  <sheetFormatPr defaultColWidth="8.7265625" defaultRowHeight="12.5"/>
  <cols>
    <col min="1" max="1" width="8.54296875" style="48" bestFit="1" customWidth="1"/>
    <col min="2" max="2" width="31.453125" style="48" customWidth="1"/>
    <col min="3" max="3" width="1.81640625" style="48" customWidth="1"/>
    <col min="4" max="4" width="10" style="49" bestFit="1" customWidth="1"/>
    <col min="5" max="5" width="1.54296875" style="48" customWidth="1"/>
    <col min="6" max="6" width="9.7265625" style="49" bestFit="1" customWidth="1"/>
    <col min="7" max="7" width="1.54296875" style="48" customWidth="1"/>
    <col min="8" max="8" width="10" style="49" bestFit="1" customWidth="1"/>
    <col min="9" max="9" width="1.54296875" style="48" customWidth="1"/>
    <col min="10" max="10" width="9.7265625" style="49" bestFit="1" customWidth="1"/>
    <col min="11" max="11" width="1.54296875" style="48" customWidth="1"/>
    <col min="12" max="12" width="9.7265625" style="49" bestFit="1" customWidth="1"/>
    <col min="13" max="16384" width="8.7265625" style="48"/>
  </cols>
  <sheetData>
    <row r="1" spans="1:12" ht="20">
      <c r="A1" s="142" t="s">
        <v>2</v>
      </c>
      <c r="B1" s="47" t="str">
        <f>VLOOKUP("T0.5",Glossary,2,FALSE)</f>
        <v>SST-Kennzahlen der letzten fünf Jahre</v>
      </c>
      <c r="C1" s="133"/>
      <c r="D1" s="133"/>
      <c r="E1" s="133"/>
      <c r="F1" s="133"/>
      <c r="G1" s="133"/>
      <c r="H1" s="134"/>
      <c r="I1" s="133"/>
      <c r="J1" s="134"/>
      <c r="K1" s="133"/>
      <c r="L1" s="134"/>
    </row>
    <row r="2" spans="1:12" ht="20">
      <c r="A2" s="47"/>
      <c r="B2" s="47"/>
      <c r="C2" s="133"/>
      <c r="D2" s="133"/>
      <c r="E2" s="133"/>
      <c r="F2" s="133"/>
      <c r="G2" s="133"/>
      <c r="H2" s="134"/>
      <c r="I2" s="133"/>
      <c r="J2" s="134"/>
      <c r="K2" s="133"/>
      <c r="L2" s="134"/>
    </row>
    <row r="3" spans="1:12">
      <c r="A3" s="133"/>
      <c r="B3" s="50"/>
      <c r="C3" s="130"/>
      <c r="D3" s="132"/>
      <c r="E3" s="130"/>
      <c r="F3" s="132"/>
      <c r="G3" s="130"/>
      <c r="H3" s="132"/>
      <c r="I3" s="130"/>
      <c r="J3" s="132"/>
      <c r="K3" s="130"/>
      <c r="L3" s="132"/>
    </row>
    <row r="4" spans="1:12">
      <c r="A4" s="133"/>
      <c r="B4" s="50"/>
      <c r="C4" s="50"/>
      <c r="D4" s="12" t="str">
        <f>CONCATENATE("SST ",Jahr)</f>
        <v>SST 2025</v>
      </c>
      <c r="E4" s="52"/>
      <c r="F4" s="12" t="str">
        <f>CONCATENATE("SST ",Jahr-1)</f>
        <v>SST 2024</v>
      </c>
      <c r="G4" s="52"/>
      <c r="H4" s="12" t="str">
        <f>CONCATENATE("SST ",Jahr-2)</f>
        <v>SST 2023</v>
      </c>
      <c r="I4" s="52"/>
      <c r="J4" s="12" t="str">
        <f>CONCATENATE("SST ",Jahr-3)</f>
        <v>SST 2022</v>
      </c>
      <c r="K4" s="52"/>
      <c r="L4" s="12" t="str">
        <f>CONCATENATE("SST ",Jahr-4)</f>
        <v>SST 2021</v>
      </c>
    </row>
    <row r="5" spans="1:12" ht="33.75" customHeight="1">
      <c r="A5" s="133"/>
      <c r="B5" s="130"/>
      <c r="C5" s="50"/>
      <c r="D5" s="2" t="str">
        <f>VLOOKUP("T1.c.1",Glossary,2,FALSE)</f>
        <v>In %  bzw. Mio.  CHF</v>
      </c>
      <c r="E5" s="53"/>
      <c r="F5" s="2" t="str">
        <f>VLOOKUP("T1.c.1",Glossary,2,FALSE)</f>
        <v>In %  bzw. Mio.  CHF</v>
      </c>
      <c r="G5" s="53"/>
      <c r="H5" s="2" t="str">
        <f>VLOOKUP("T1.c.1",Glossary,2,FALSE)</f>
        <v>In %  bzw. Mio.  CHF</v>
      </c>
      <c r="I5" s="53"/>
      <c r="J5" s="2" t="str">
        <f>VLOOKUP("T1.c.1",Glossary,2,FALSE)</f>
        <v>In %  bzw. Mio.  CHF</v>
      </c>
      <c r="K5" s="53"/>
      <c r="L5" s="2" t="str">
        <f>VLOOKUP("T1.c.1",Glossary,2,FALSE)</f>
        <v>In %  bzw. Mio.  CHF</v>
      </c>
    </row>
    <row r="6" spans="1:12">
      <c r="A6" s="133"/>
      <c r="B6" s="50"/>
      <c r="C6" s="50"/>
      <c r="D6" s="14"/>
      <c r="E6" s="10"/>
      <c r="F6" s="14"/>
      <c r="G6" s="10"/>
      <c r="H6" s="14"/>
      <c r="I6" s="10"/>
      <c r="J6" s="14"/>
      <c r="K6" s="10"/>
      <c r="L6" s="14"/>
    </row>
    <row r="7" spans="1:12">
      <c r="A7" s="133"/>
      <c r="B7" s="4" t="str">
        <f>VLOOKUP("T1.r.1",Glossary,2,FALSE)</f>
        <v>SST-Quotient</v>
      </c>
      <c r="C7" s="10"/>
      <c r="D7" s="171">
        <f>[1]Fundamental_Data!$C$116</f>
        <v>0</v>
      </c>
      <c r="E7" s="172"/>
      <c r="F7" s="171">
        <f>[2]Fundamental_Data!$C$116</f>
        <v>0</v>
      </c>
      <c r="G7" s="172"/>
      <c r="H7" s="171">
        <f>[3]Fundamental_Data!$C$113</f>
        <v>0</v>
      </c>
      <c r="I7" s="172"/>
      <c r="J7" s="171"/>
      <c r="K7" s="172"/>
      <c r="L7" s="171"/>
    </row>
    <row r="8" spans="1:12">
      <c r="A8" s="133"/>
      <c r="B8" s="1"/>
      <c r="C8" s="10"/>
      <c r="D8" s="16"/>
      <c r="E8" s="10"/>
      <c r="F8" s="16"/>
      <c r="G8" s="10"/>
      <c r="H8" s="16"/>
      <c r="I8" s="10"/>
      <c r="J8" s="16"/>
      <c r="K8" s="10"/>
      <c r="L8" s="16"/>
    </row>
    <row r="9" spans="1:12">
      <c r="A9" s="133"/>
      <c r="B9" s="4" t="str">
        <f>VLOOKUP("T1.r.2",Glossary,2,FALSE)</f>
        <v>Risikotragendes Kapital (RTK)</v>
      </c>
      <c r="C9" s="10"/>
      <c r="D9" s="15">
        <f>[1]Fundamental_Data!$C$101</f>
        <v>0</v>
      </c>
      <c r="E9" s="10"/>
      <c r="F9" s="15">
        <f>[2]Fundamental_Data!$C$101</f>
        <v>0</v>
      </c>
      <c r="G9" s="10"/>
      <c r="H9" s="15">
        <f>[3]Fundamental_Data!$C$99</f>
        <v>0</v>
      </c>
      <c r="I9" s="10"/>
      <c r="J9" s="15"/>
      <c r="K9" s="10"/>
      <c r="L9" s="15"/>
    </row>
    <row r="10" spans="1:12">
      <c r="A10" s="133"/>
      <c r="B10" s="20" t="str">
        <f>VLOOKUP("T1.r.3",Glossary,2,FALSE)</f>
        <v>Mindestbetrag (MVM)</v>
      </c>
      <c r="C10" s="50"/>
      <c r="D10" s="21">
        <f>[1]Fundamental_Data!$C$83</f>
        <v>0</v>
      </c>
      <c r="E10" s="10"/>
      <c r="F10" s="21">
        <f>[2]Fundamental_Data!$C$83</f>
        <v>0</v>
      </c>
      <c r="G10" s="10"/>
      <c r="H10" s="21">
        <f>[3]Fundamental_Data!$C$110</f>
        <v>0</v>
      </c>
      <c r="I10" s="10"/>
      <c r="J10" s="21"/>
      <c r="K10" s="10"/>
      <c r="L10" s="21"/>
    </row>
    <row r="11" spans="1:12">
      <c r="A11" s="133"/>
      <c r="B11" s="50"/>
      <c r="C11" s="50"/>
      <c r="D11" s="107"/>
      <c r="E11" s="10"/>
      <c r="F11" s="107"/>
      <c r="G11" s="10"/>
      <c r="H11" s="107"/>
      <c r="I11" s="10"/>
      <c r="J11" s="107"/>
      <c r="K11" s="10"/>
      <c r="L11" s="107"/>
    </row>
    <row r="12" spans="1:12">
      <c r="A12" s="133"/>
      <c r="B12" s="4" t="str">
        <f>VLOOKUP("T1.r.4",Glossary,2,FALSE)</f>
        <v>Zielkapital (ZK)</v>
      </c>
      <c r="C12" s="10"/>
      <c r="D12" s="15">
        <f>[1]Fundamental_Data!$C$115</f>
        <v>0</v>
      </c>
      <c r="E12" s="10"/>
      <c r="F12" s="15">
        <f>[2]Fundamental_Data!$C$115</f>
        <v>0</v>
      </c>
      <c r="G12" s="10"/>
      <c r="H12" s="15">
        <f>[3]Fundamental_Data!$C$112</f>
        <v>0</v>
      </c>
      <c r="I12" s="10"/>
      <c r="J12" s="15"/>
      <c r="K12" s="10"/>
      <c r="L12" s="15"/>
    </row>
    <row r="13" spans="1:12" ht="22.5" customHeight="1">
      <c r="A13" s="133"/>
      <c r="B13" s="22" t="str">
        <f>VLOOKUP("T1.r.5",Glossary,2,FALSE)</f>
        <v>Erwartetes finanzielles Ergebnis über risikofrei</v>
      </c>
      <c r="C13" s="10"/>
      <c r="D13" s="17">
        <f>[1]Fundamental_Data!$C$105</f>
        <v>0</v>
      </c>
      <c r="E13" s="10"/>
      <c r="F13" s="17">
        <f>[2]Fundamental_Data!$C$105</f>
        <v>0</v>
      </c>
      <c r="G13" s="10"/>
      <c r="H13" s="17">
        <f>[3]Fundamental_Data!$C$103</f>
        <v>0</v>
      </c>
      <c r="I13" s="10"/>
      <c r="J13" s="17"/>
      <c r="K13" s="10"/>
      <c r="L13" s="17"/>
    </row>
    <row r="14" spans="1:12">
      <c r="A14" s="133"/>
      <c r="B14" s="22" t="str">
        <f>VLOOKUP("T1.r.6",Glossary,2,FALSE)</f>
        <v>Erwartetes versicherungstechnisches Ergebnis</v>
      </c>
      <c r="C14" s="10"/>
      <c r="D14" s="17">
        <f>[1]Fundamental_Data!$C$104</f>
        <v>0</v>
      </c>
      <c r="E14" s="10"/>
      <c r="F14" s="17">
        <f>[2]Fundamental_Data!$C$104</f>
        <v>0</v>
      </c>
      <c r="G14" s="10"/>
      <c r="H14" s="17">
        <f>[3]Fundamental_Data!$C$102</f>
        <v>0</v>
      </c>
      <c r="I14" s="10"/>
      <c r="J14" s="17"/>
      <c r="K14" s="10"/>
      <c r="L14" s="17"/>
    </row>
    <row r="20" spans="17:17">
      <c r="Q20" s="133"/>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23"/>
  <sheetViews>
    <sheetView showGridLines="0" zoomScale="120" zoomScaleNormal="120" workbookViewId="0">
      <selection activeCell="M21" sqref="M21"/>
    </sheetView>
  </sheetViews>
  <sheetFormatPr defaultColWidth="8.7265625" defaultRowHeight="12.5"/>
  <cols>
    <col min="1" max="1" width="8.54296875" style="48" bestFit="1" customWidth="1"/>
    <col min="2" max="2" width="37.453125" style="48" customWidth="1"/>
    <col min="3" max="3" width="1.81640625" style="48" customWidth="1"/>
    <col min="4" max="4" width="8" style="49" customWidth="1"/>
    <col min="5" max="5" width="5.26953125" style="54" customWidth="1"/>
    <col min="6" max="6" width="1.54296875" style="48" customWidth="1"/>
    <col min="7" max="7" width="7.453125" style="54" customWidth="1"/>
    <col min="8" max="8" width="5.26953125" style="54" customWidth="1"/>
    <col min="9" max="9" width="2.26953125" style="48" customWidth="1"/>
    <col min="10" max="10" width="5.81640625" style="54" customWidth="1"/>
    <col min="11" max="11" width="5.1796875" style="54" customWidth="1"/>
    <col min="12" max="12" width="3.54296875" style="48" customWidth="1"/>
    <col min="13" max="13" width="8.1796875" style="49" customWidth="1"/>
    <col min="14" max="14" width="8.54296875" style="54" bestFit="1" customWidth="1"/>
    <col min="15" max="15" width="5.7265625" style="54" customWidth="1"/>
    <col min="16" max="16384" width="8.7265625" style="48"/>
  </cols>
  <sheetData>
    <row r="1" spans="1:15" ht="20">
      <c r="A1" s="143" t="s">
        <v>3</v>
      </c>
      <c r="B1" s="47" t="str">
        <f>VLOOKUP("T0.6",Glossary,2,FALSE)</f>
        <v>Komponenten des SST-Quotienten</v>
      </c>
      <c r="C1" s="133"/>
      <c r="D1" s="134"/>
      <c r="E1" s="135"/>
      <c r="F1" s="133"/>
      <c r="G1" s="135"/>
      <c r="H1" s="135"/>
      <c r="I1" s="133"/>
      <c r="J1" s="135"/>
      <c r="K1" s="135"/>
      <c r="L1" s="133"/>
      <c r="M1" s="134"/>
      <c r="N1" s="135"/>
      <c r="O1" s="135"/>
    </row>
    <row r="2" spans="1:15" ht="20">
      <c r="A2" s="47"/>
      <c r="B2" s="47"/>
      <c r="C2" s="133"/>
      <c r="D2" s="134"/>
      <c r="E2" s="135"/>
      <c r="F2" s="133"/>
      <c r="G2" s="135"/>
      <c r="H2" s="135"/>
      <c r="I2" s="133"/>
      <c r="J2" s="135"/>
      <c r="K2" s="135"/>
      <c r="L2" s="133"/>
      <c r="M2" s="134"/>
      <c r="N2" s="135"/>
      <c r="O2" s="135"/>
    </row>
    <row r="3" spans="1:15">
      <c r="A3" s="133"/>
      <c r="B3" s="130"/>
      <c r="C3" s="130"/>
      <c r="D3" s="132"/>
      <c r="E3" s="136"/>
      <c r="F3" s="130"/>
      <c r="G3" s="136"/>
      <c r="H3" s="136"/>
      <c r="I3" s="130"/>
      <c r="J3" s="136"/>
      <c r="K3" s="136"/>
      <c r="L3" s="130"/>
      <c r="M3" s="132"/>
      <c r="N3" s="136"/>
      <c r="O3" s="136"/>
    </row>
    <row r="4" spans="1:15">
      <c r="A4" s="133"/>
      <c r="B4" s="58"/>
      <c r="C4" s="10"/>
      <c r="D4" s="12" t="str">
        <f>CONCATENATE("SST ",Jahr)</f>
        <v>SST 2025</v>
      </c>
      <c r="E4" s="12"/>
      <c r="F4" s="12"/>
      <c r="G4" s="12"/>
      <c r="H4" s="12"/>
      <c r="I4" s="12"/>
      <c r="J4" s="12"/>
      <c r="K4" s="12"/>
      <c r="L4" s="52"/>
      <c r="M4" s="12" t="str">
        <f>CONCATENATE("SST ",Jahr-1)</f>
        <v>SST 2024</v>
      </c>
      <c r="N4" s="5"/>
      <c r="O4" s="5"/>
    </row>
    <row r="5" spans="1:15" ht="56.15" customHeight="1">
      <c r="A5" s="133"/>
      <c r="B5" s="59" t="str">
        <f>VLOOKUP("T2.r.1",Glossary,2,FALSE)</f>
        <v xml:space="preserve">Vorzeichenkonvention:
RTK = Aktiven -  Verbindlichkeiten + (Abzüge und RAK) ;
ZK = Summe der Komponenten;
</v>
      </c>
      <c r="C5" s="53"/>
      <c r="D5" s="13" t="str">
        <f>VLOOKUP("T2.c.1",Glossary,2,FALSE)</f>
        <v>Mio. CHF</v>
      </c>
      <c r="E5" s="90" t="str">
        <f>VLOOKUP("T2.c.2",Glossary,2,FALSE)</f>
        <v>Rel. Diff. Vorjahr</v>
      </c>
      <c r="F5" s="53"/>
      <c r="G5" s="6" t="str">
        <f>VLOOKUP("T2.c.3",Glossary,2,FALSE)</f>
        <v>Anteil ZK</v>
      </c>
      <c r="H5" s="90" t="str">
        <f>VLOOKUP("T2.c.4",Glossary,2,FALSE)</f>
        <v>Rel. Diff. Vorjahr</v>
      </c>
      <c r="I5" s="51"/>
      <c r="J5" s="6" t="str">
        <f>VLOOKUP("T2.c.5",Glossary,2,FALSE)</f>
        <v>Anteil Bilanz- summe SST-Bilanz</v>
      </c>
      <c r="K5" s="90" t="str">
        <f>VLOOKUP("T2.c.6",Glossary,2,FALSE)</f>
        <v>Rel. Diff. Vorjahr</v>
      </c>
      <c r="L5" s="55"/>
      <c r="M5" s="13" t="str">
        <f>VLOOKUP("T2.c.7",Glossary,2,FALSE)</f>
        <v>Mio. CHF</v>
      </c>
      <c r="N5" s="13" t="str">
        <f>VLOOKUP("T2.c.8",Glossary,2,FALSE)</f>
        <v>Anteil ZK</v>
      </c>
      <c r="O5" s="13" t="str">
        <f>VLOOKUP("T2.c.9",Glossary,2,FALSE)</f>
        <v>Anteil Bilanz- summe SST-Bilanz</v>
      </c>
    </row>
    <row r="6" spans="1:15">
      <c r="A6" s="133"/>
      <c r="B6" s="1"/>
      <c r="C6" s="10"/>
      <c r="D6" s="14"/>
      <c r="E6" s="91" t="str">
        <f t="shared" ref="E6:E21" si="0">IF(M6=0,"",(D6-M6)/M6)</f>
        <v/>
      </c>
      <c r="F6" s="10"/>
      <c r="G6" s="7"/>
      <c r="H6" s="91" t="str">
        <f t="shared" ref="H6:H12" si="1">IF(N6=0,"",(G6-N6)/N6)</f>
        <v/>
      </c>
      <c r="I6" s="10"/>
      <c r="J6" s="7"/>
      <c r="K6" s="91" t="str">
        <f t="shared" ref="K6" si="2">IF(O6=0,"",(J6-O6)/O6)</f>
        <v/>
      </c>
      <c r="L6" s="10"/>
      <c r="M6" s="14"/>
      <c r="N6" s="7"/>
      <c r="O6" s="7"/>
    </row>
    <row r="7" spans="1:15">
      <c r="A7" s="133"/>
      <c r="B7" s="4" t="str">
        <f>VLOOKUP("T2.r.5",Glossary,2,FALSE)</f>
        <v>Risikotragendes Kapital (RTK)</v>
      </c>
      <c r="C7" s="10"/>
      <c r="D7" s="15">
        <f>[1]Fundamental_Data!$C$101</f>
        <v>0</v>
      </c>
      <c r="E7" s="91" t="str">
        <f t="shared" si="0"/>
        <v/>
      </c>
      <c r="F7" s="10"/>
      <c r="G7" s="123" t="e">
        <f>D7/$D$13</f>
        <v>#DIV/0!</v>
      </c>
      <c r="H7" s="91" t="e">
        <f>IF(N7=0,"",(G7-N7)/N7)</f>
        <v>#DIV/0!</v>
      </c>
      <c r="I7" s="10"/>
      <c r="J7" s="5" t="e">
        <f>D7/$D$8</f>
        <v>#DIV/0!</v>
      </c>
      <c r="K7" s="91" t="e">
        <f t="shared" ref="K7:K21" si="3">IF(O7=0,"",(J7-O7)/O7)</f>
        <v>#DIV/0!</v>
      </c>
      <c r="L7" s="10"/>
      <c r="M7" s="145">
        <f>[2]Fundamental_Data!$C$101</f>
        <v>0</v>
      </c>
      <c r="N7" s="30" t="e">
        <f>M7/$M$13</f>
        <v>#DIV/0!</v>
      </c>
      <c r="O7" s="5" t="e">
        <f>M7/$M$8</f>
        <v>#DIV/0!</v>
      </c>
    </row>
    <row r="8" spans="1:15">
      <c r="A8" s="133"/>
      <c r="B8" s="8" t="str">
        <f>VLOOKUP("T2.r.6",Glossary,2,FALSE)</f>
        <v>Marktkonformer Wert der Aktiven</v>
      </c>
      <c r="C8" s="10"/>
      <c r="D8" s="17">
        <f>[1]Fundamental_Data!$C$65</f>
        <v>0</v>
      </c>
      <c r="E8" s="91" t="str">
        <f t="shared" si="0"/>
        <v/>
      </c>
      <c r="F8" s="10"/>
      <c r="G8" s="124" t="e">
        <f>D8/$D$13</f>
        <v>#DIV/0!</v>
      </c>
      <c r="H8" s="91" t="e">
        <f>IF(N8=0,"",(G8-N8)/N8)</f>
        <v>#DIV/0!</v>
      </c>
      <c r="I8" s="10"/>
      <c r="J8" s="9" t="e">
        <f>D8/$D$8</f>
        <v>#DIV/0!</v>
      </c>
      <c r="K8" s="91" t="e">
        <f t="shared" si="3"/>
        <v>#DIV/0!</v>
      </c>
      <c r="L8" s="10"/>
      <c r="M8" s="17">
        <f>[2]Fundamental_Data!$C$66</f>
        <v>0</v>
      </c>
      <c r="N8" s="118" t="e">
        <f t="shared" ref="N8:N11" si="4">M8/$M$13</f>
        <v>#DIV/0!</v>
      </c>
      <c r="O8" s="9" t="e">
        <f>M8/$M$8</f>
        <v>#DIV/0!</v>
      </c>
    </row>
    <row r="9" spans="1:15">
      <c r="A9" s="133"/>
      <c r="B9" s="8" t="str">
        <f>VLOOKUP("T2.r.7",Glossary,2,FALSE)</f>
        <v>Verbindlichkeiten</v>
      </c>
      <c r="C9" s="10"/>
      <c r="D9" s="17">
        <f>[1]Fundamental_Data!$C$92</f>
        <v>0</v>
      </c>
      <c r="E9" s="91" t="str">
        <f t="shared" si="0"/>
        <v/>
      </c>
      <c r="F9" s="10"/>
      <c r="G9" s="124" t="e">
        <f>D9/$D$13</f>
        <v>#DIV/0!</v>
      </c>
      <c r="H9" s="91" t="e">
        <f>IF(N9=0,"",(G9-N9)/N9)</f>
        <v>#DIV/0!</v>
      </c>
      <c r="I9" s="10"/>
      <c r="J9" s="9" t="e">
        <f>D9/$D$8</f>
        <v>#DIV/0!</v>
      </c>
      <c r="K9" s="91" t="e">
        <f t="shared" si="3"/>
        <v>#DIV/0!</v>
      </c>
      <c r="L9" s="10"/>
      <c r="M9" s="17">
        <f>[2]Fundamental_Data!$C$92</f>
        <v>0</v>
      </c>
      <c r="N9" s="118" t="e">
        <f t="shared" si="4"/>
        <v>#DIV/0!</v>
      </c>
      <c r="O9" s="9" t="e">
        <f>M9/$M$8</f>
        <v>#DIV/0!</v>
      </c>
    </row>
    <row r="10" spans="1:15">
      <c r="A10" s="133"/>
      <c r="B10" s="10" t="str">
        <f>VLOOKUP("T2.r.8",Glossary,2,FALSE)</f>
        <v xml:space="preserve"> davon Mindestbetrag (MVM)</v>
      </c>
      <c r="C10" s="10"/>
      <c r="D10" s="57">
        <f>[1]Fundamental_Data!$C$83</f>
        <v>0</v>
      </c>
      <c r="E10" s="91"/>
      <c r="F10" s="10"/>
      <c r="G10" s="125" t="e">
        <f>D10/$D$13</f>
        <v>#DIV/0!</v>
      </c>
      <c r="H10" s="91" t="e">
        <f>IF(N10=0,"",(G10-N10)/N10)</f>
        <v>#DIV/0!</v>
      </c>
      <c r="I10" s="10"/>
      <c r="J10" s="56" t="e">
        <f>D10/$D$8</f>
        <v>#DIV/0!</v>
      </c>
      <c r="K10" s="91" t="e">
        <f t="shared" si="3"/>
        <v>#DIV/0!</v>
      </c>
      <c r="L10" s="10"/>
      <c r="M10" s="57">
        <f>[2]Fundamental_Data!$C$83</f>
        <v>0</v>
      </c>
      <c r="N10" s="119" t="e">
        <f t="shared" si="4"/>
        <v>#DIV/0!</v>
      </c>
      <c r="O10" s="56" t="e">
        <f>M10/$M$8</f>
        <v>#DIV/0!</v>
      </c>
    </row>
    <row r="11" spans="1:15">
      <c r="A11" s="133"/>
      <c r="B11" s="8" t="str">
        <f>VLOOKUP("T2.r.9",Glossary,2,FALSE)</f>
        <v>Abzüge und risikoabsorbierende Kapitalinstrumente (RAK)</v>
      </c>
      <c r="C11" s="10"/>
      <c r="D11" s="121">
        <f>[1]Fundamental_Data!$C$96+[1]Fundamental_Data!$C$98+[1]Fundamental_Data!$C$100</f>
        <v>0</v>
      </c>
      <c r="E11" s="91" t="str">
        <f t="shared" si="0"/>
        <v/>
      </c>
      <c r="F11" s="10"/>
      <c r="G11" s="124" t="e">
        <f>D11/$D$13</f>
        <v>#DIV/0!</v>
      </c>
      <c r="H11" s="91" t="e">
        <f>IF(N11=0,"",(G11-N11)/N11)</f>
        <v>#DIV/0!</v>
      </c>
      <c r="I11" s="10"/>
      <c r="J11" s="9" t="e">
        <f>D11/$D$8</f>
        <v>#DIV/0!</v>
      </c>
      <c r="K11" s="91" t="e">
        <f t="shared" si="3"/>
        <v>#DIV/0!</v>
      </c>
      <c r="L11" s="10"/>
      <c r="M11" s="17">
        <f>[2]Fundamental_Data!$C$96+[2]Fundamental_Data!$C$98+[2]Fundamental_Data!$C$100</f>
        <v>0</v>
      </c>
      <c r="N11" s="118" t="e">
        <f t="shared" si="4"/>
        <v>#DIV/0!</v>
      </c>
      <c r="O11" s="9" t="e">
        <f>M11/$M$8</f>
        <v>#DIV/0!</v>
      </c>
    </row>
    <row r="12" spans="1:15">
      <c r="A12" s="133"/>
      <c r="B12" s="1"/>
      <c r="C12" s="10"/>
      <c r="D12" s="14"/>
      <c r="E12" s="91" t="str">
        <f t="shared" si="0"/>
        <v/>
      </c>
      <c r="F12" s="10"/>
      <c r="G12" s="7"/>
      <c r="H12" s="91" t="str">
        <f t="shared" si="1"/>
        <v/>
      </c>
      <c r="I12" s="10"/>
      <c r="J12" s="7"/>
      <c r="K12" s="91" t="str">
        <f t="shared" si="3"/>
        <v/>
      </c>
      <c r="L12" s="10"/>
      <c r="M12" s="14"/>
      <c r="N12" s="7"/>
      <c r="O12" s="7"/>
    </row>
    <row r="13" spans="1:15">
      <c r="A13" s="133"/>
      <c r="B13" s="4" t="str">
        <f>VLOOKUP("T2.r.10",Glossary,2,FALSE)</f>
        <v>Zielkapital (ZK)</v>
      </c>
      <c r="C13" s="10"/>
      <c r="D13" s="15">
        <f>[1]Fundamental_Data!$C$115</f>
        <v>0</v>
      </c>
      <c r="E13" s="91" t="str">
        <f t="shared" si="0"/>
        <v/>
      </c>
      <c r="F13" s="10"/>
      <c r="G13" s="5" t="e">
        <f t="shared" ref="G13:G21" si="5">D13/$D$13</f>
        <v>#DIV/0!</v>
      </c>
      <c r="H13" s="91" t="e">
        <f t="shared" ref="H13:H21" si="6">IF(N13=0,"",(G13-N13)/N13)</f>
        <v>#DIV/0!</v>
      </c>
      <c r="I13" s="10"/>
      <c r="J13" s="30" t="e">
        <f t="shared" ref="J13:J21" si="7">D13/$D$8</f>
        <v>#DIV/0!</v>
      </c>
      <c r="K13" s="91" t="e">
        <f t="shared" si="3"/>
        <v>#DIV/0!</v>
      </c>
      <c r="L13" s="10"/>
      <c r="M13" s="145">
        <f>[2]Fundamental_Data!$C$115</f>
        <v>0</v>
      </c>
      <c r="N13" s="123" t="e">
        <f>M13/$M$13</f>
        <v>#DIV/0!</v>
      </c>
      <c r="O13" s="5" t="e">
        <f t="shared" ref="O13:O21" si="8">M13/$M$8</f>
        <v>#DIV/0!</v>
      </c>
    </row>
    <row r="14" spans="1:15">
      <c r="A14" s="133"/>
      <c r="B14" s="8" t="str">
        <f>VLOOKUP("T2.r.11",Glossary,2,FALSE)</f>
        <v xml:space="preserve"> Marktrisiko</v>
      </c>
      <c r="C14" s="10"/>
      <c r="D14" s="17">
        <f>[1]Fundamental_Data!$C$107</f>
        <v>0</v>
      </c>
      <c r="E14" s="91" t="str">
        <f t="shared" si="0"/>
        <v/>
      </c>
      <c r="F14" s="10"/>
      <c r="G14" s="9" t="e">
        <f t="shared" si="5"/>
        <v>#DIV/0!</v>
      </c>
      <c r="H14" s="91" t="e">
        <f t="shared" si="6"/>
        <v>#DIV/0!</v>
      </c>
      <c r="I14" s="10"/>
      <c r="J14" s="9" t="e">
        <f t="shared" si="7"/>
        <v>#DIV/0!</v>
      </c>
      <c r="K14" s="91" t="e">
        <f t="shared" si="3"/>
        <v>#DIV/0!</v>
      </c>
      <c r="L14" s="10"/>
      <c r="M14" s="17">
        <f>[2]Fundamental_Data!$C$107</f>
        <v>0</v>
      </c>
      <c r="N14" s="9" t="e">
        <f t="shared" ref="N14:N21" si="9">M14/$M$13</f>
        <v>#DIV/0!</v>
      </c>
      <c r="O14" s="9" t="e">
        <f t="shared" si="8"/>
        <v>#DIV/0!</v>
      </c>
    </row>
    <row r="15" spans="1:15">
      <c r="A15" s="133"/>
      <c r="B15" s="10" t="str">
        <f>VLOOKUP("T2.r.12",Glossary,2,FALSE)</f>
        <v xml:space="preserve"> Kreditrisiko</v>
      </c>
      <c r="C15" s="10"/>
      <c r="D15" s="57">
        <f>[1]Fundamental_Data!$C$106</f>
        <v>0</v>
      </c>
      <c r="E15" s="91" t="str">
        <f t="shared" si="0"/>
        <v/>
      </c>
      <c r="F15" s="10"/>
      <c r="G15" s="125" t="e">
        <f t="shared" si="5"/>
        <v>#DIV/0!</v>
      </c>
      <c r="H15" s="91" t="e">
        <f t="shared" si="6"/>
        <v>#DIV/0!</v>
      </c>
      <c r="I15" s="10"/>
      <c r="J15" s="56" t="e">
        <f t="shared" si="7"/>
        <v>#DIV/0!</v>
      </c>
      <c r="K15" s="91" t="e">
        <f t="shared" si="3"/>
        <v>#DIV/0!</v>
      </c>
      <c r="L15" s="10"/>
      <c r="M15" s="57">
        <f>[2]Fundamental_Data!$C$106</f>
        <v>0</v>
      </c>
      <c r="N15" s="56" t="e">
        <f t="shared" si="9"/>
        <v>#DIV/0!</v>
      </c>
      <c r="O15" s="56" t="e">
        <f t="shared" si="8"/>
        <v>#DIV/0!</v>
      </c>
    </row>
    <row r="16" spans="1:15">
      <c r="A16" s="133"/>
      <c r="B16" s="8" t="str">
        <f>VLOOKUP("T2.r.13",Glossary,2,FALSE)</f>
        <v xml:space="preserve"> Versicherungsrisiko</v>
      </c>
      <c r="C16" s="10"/>
      <c r="D16" s="17">
        <f>[1]Fundamental_Data!$C$108</f>
        <v>0</v>
      </c>
      <c r="E16" s="91" t="str">
        <f t="shared" si="0"/>
        <v/>
      </c>
      <c r="F16" s="10"/>
      <c r="G16" s="9" t="e">
        <f t="shared" si="5"/>
        <v>#DIV/0!</v>
      </c>
      <c r="H16" s="91" t="e">
        <f t="shared" si="6"/>
        <v>#DIV/0!</v>
      </c>
      <c r="I16" s="10"/>
      <c r="J16" s="9" t="e">
        <f t="shared" si="7"/>
        <v>#DIV/0!</v>
      </c>
      <c r="K16" s="91" t="e">
        <f t="shared" si="3"/>
        <v>#DIV/0!</v>
      </c>
      <c r="L16" s="10"/>
      <c r="M16" s="17">
        <f>[2]Fundamental_Data!$C$108</f>
        <v>0</v>
      </c>
      <c r="N16" s="9" t="e">
        <f t="shared" si="9"/>
        <v>#DIV/0!</v>
      </c>
      <c r="O16" s="9" t="e">
        <f t="shared" si="8"/>
        <v>#DIV/0!</v>
      </c>
    </row>
    <row r="17" spans="2:15">
      <c r="B17" s="10" t="str">
        <f>VLOOKUP("T2.r.14",Glossary,2,FALSE)</f>
        <v xml:space="preserve"> Diversifikationseffekt</v>
      </c>
      <c r="C17" s="10"/>
      <c r="D17" s="57">
        <f>[1]Fundamental_Data!$C$109</f>
        <v>0</v>
      </c>
      <c r="E17" s="91" t="str">
        <f t="shared" si="0"/>
        <v/>
      </c>
      <c r="F17" s="10"/>
      <c r="G17" s="125" t="e">
        <f t="shared" si="5"/>
        <v>#DIV/0!</v>
      </c>
      <c r="H17" s="91" t="e">
        <f t="shared" si="6"/>
        <v>#DIV/0!</v>
      </c>
      <c r="I17" s="10"/>
      <c r="J17" s="56" t="e">
        <f t="shared" si="7"/>
        <v>#DIV/0!</v>
      </c>
      <c r="K17" s="91" t="e">
        <f t="shared" si="3"/>
        <v>#DIV/0!</v>
      </c>
      <c r="L17" s="10"/>
      <c r="M17" s="57">
        <f>[2]Fundamental_Data!$C$109</f>
        <v>0</v>
      </c>
      <c r="N17" s="56" t="e">
        <f t="shared" si="9"/>
        <v>#DIV/0!</v>
      </c>
      <c r="O17" s="56" t="e">
        <f t="shared" si="8"/>
        <v>#DIV/0!</v>
      </c>
    </row>
    <row r="18" spans="2:15">
      <c r="B18" s="8" t="str">
        <f>VLOOKUP("T2.r.15",Glossary,2,FALSE)</f>
        <v xml:space="preserve"> Negative des erwarteteten finanz. Ergebnisses </v>
      </c>
      <c r="C18" s="10"/>
      <c r="D18" s="17">
        <f>-[1]Fundamental_Data!$C$105</f>
        <v>0</v>
      </c>
      <c r="E18" s="91" t="str">
        <f t="shared" si="0"/>
        <v/>
      </c>
      <c r="F18" s="10"/>
      <c r="G18" s="9" t="e">
        <f t="shared" si="5"/>
        <v>#DIV/0!</v>
      </c>
      <c r="H18" s="91" t="e">
        <f t="shared" si="6"/>
        <v>#DIV/0!</v>
      </c>
      <c r="I18" s="10"/>
      <c r="J18" s="9" t="e">
        <f t="shared" si="7"/>
        <v>#DIV/0!</v>
      </c>
      <c r="K18" s="91" t="e">
        <f t="shared" si="3"/>
        <v>#DIV/0!</v>
      </c>
      <c r="L18" s="10"/>
      <c r="M18" s="17">
        <f>-[2]Fundamental_Data!$C$105</f>
        <v>0</v>
      </c>
      <c r="N18" s="9" t="e">
        <f t="shared" si="9"/>
        <v>#DIV/0!</v>
      </c>
      <c r="O18" s="9" t="e">
        <f t="shared" si="8"/>
        <v>#DIV/0!</v>
      </c>
    </row>
    <row r="19" spans="2:15">
      <c r="B19" s="10" t="str">
        <f>VLOOKUP("T2.r.16",Glossary,2,FALSE)</f>
        <v xml:space="preserve"> Negative des erwarteteten vers. Ergebnisses</v>
      </c>
      <c r="C19" s="10"/>
      <c r="D19" s="57">
        <f>-[1]Fundamental_Data!$C$104</f>
        <v>0</v>
      </c>
      <c r="E19" s="91" t="str">
        <f t="shared" si="0"/>
        <v/>
      </c>
      <c r="F19" s="10"/>
      <c r="G19" s="125" t="e">
        <f t="shared" si="5"/>
        <v>#DIV/0!</v>
      </c>
      <c r="H19" s="91" t="e">
        <f t="shared" si="6"/>
        <v>#DIV/0!</v>
      </c>
      <c r="I19" s="10"/>
      <c r="J19" s="56" t="e">
        <f t="shared" si="7"/>
        <v>#DIV/0!</v>
      </c>
      <c r="K19" s="91" t="e">
        <f t="shared" si="3"/>
        <v>#DIV/0!</v>
      </c>
      <c r="L19" s="10"/>
      <c r="M19" s="57">
        <f>-[2]Fundamental_Data!$C$104</f>
        <v>0</v>
      </c>
      <c r="N19" s="56" t="e">
        <f t="shared" si="9"/>
        <v>#DIV/0!</v>
      </c>
      <c r="O19" s="56" t="e">
        <f t="shared" si="8"/>
        <v>#DIV/0!</v>
      </c>
    </row>
    <row r="20" spans="2:15">
      <c r="B20" s="8" t="str">
        <f>VLOOKUP("T2.r.17",Glossary,2,FALSE)</f>
        <v xml:space="preserve"> Szenarieneffekt</v>
      </c>
      <c r="C20" s="10"/>
      <c r="D20" s="17">
        <f>[1]Fundamental_Data!$C$110</f>
        <v>0</v>
      </c>
      <c r="E20" s="91" t="str">
        <f t="shared" si="0"/>
        <v/>
      </c>
      <c r="F20" s="10"/>
      <c r="G20" s="9" t="e">
        <f t="shared" si="5"/>
        <v>#DIV/0!</v>
      </c>
      <c r="H20" s="91" t="e">
        <f t="shared" si="6"/>
        <v>#DIV/0!</v>
      </c>
      <c r="I20" s="10"/>
      <c r="J20" s="9" t="e">
        <f t="shared" si="7"/>
        <v>#DIV/0!</v>
      </c>
      <c r="K20" s="91" t="e">
        <f t="shared" si="3"/>
        <v>#DIV/0!</v>
      </c>
      <c r="L20" s="10"/>
      <c r="M20" s="17">
        <f>[2]Fundamental_Data!$C$110</f>
        <v>0</v>
      </c>
      <c r="N20" s="9" t="e">
        <f t="shared" si="9"/>
        <v>#DIV/0!</v>
      </c>
      <c r="O20" s="9" t="e">
        <f t="shared" si="8"/>
        <v>#DIV/0!</v>
      </c>
    </row>
    <row r="21" spans="2:15">
      <c r="B21" s="10" t="str">
        <f>VLOOKUP("T2.r.18",Glossary,2,FALSE)</f>
        <v xml:space="preserve"> Zusätzliche Effekte</v>
      </c>
      <c r="C21" s="10"/>
      <c r="D21" s="122">
        <f>SUM([1]Fundamental_Data!$C$111:$C$114)</f>
        <v>0</v>
      </c>
      <c r="E21" s="91" t="str">
        <f t="shared" si="0"/>
        <v/>
      </c>
      <c r="F21" s="10"/>
      <c r="G21" s="125" t="e">
        <f t="shared" si="5"/>
        <v>#DIV/0!</v>
      </c>
      <c r="H21" s="91" t="e">
        <f t="shared" si="6"/>
        <v>#DIV/0!</v>
      </c>
      <c r="I21" s="10"/>
      <c r="J21" s="56" t="e">
        <f t="shared" si="7"/>
        <v>#DIV/0!</v>
      </c>
      <c r="K21" s="91" t="e">
        <f t="shared" si="3"/>
        <v>#DIV/0!</v>
      </c>
      <c r="L21" s="10"/>
      <c r="M21" s="57">
        <f>SUM([2]Fundamental_Data!$C$111:$C$114)</f>
        <v>0</v>
      </c>
      <c r="N21" s="56" t="e">
        <f t="shared" si="9"/>
        <v>#DIV/0!</v>
      </c>
      <c r="O21" s="56" t="e">
        <f t="shared" si="8"/>
        <v>#DIV/0!</v>
      </c>
    </row>
    <row r="22" spans="2:15">
      <c r="D22" s="57"/>
      <c r="E22" s="162"/>
      <c r="F22" s="163"/>
      <c r="G22" s="162"/>
      <c r="H22" s="162"/>
      <c r="I22" s="163"/>
      <c r="J22" s="162"/>
      <c r="K22" s="162"/>
      <c r="L22" s="163"/>
      <c r="M22" s="164"/>
    </row>
    <row r="23" spans="2:15">
      <c r="B23" s="108" t="str">
        <f>VLOOKUP("T2.r.4",Glossary,2,FALSE)</f>
        <v>Überschuss (RTK minus ZK)</v>
      </c>
      <c r="C23" s="51"/>
      <c r="D23" s="109">
        <f>D7-D13</f>
        <v>0</v>
      </c>
      <c r="E23" s="110" t="str">
        <f>IF(M23=0,"",(D23-M23)/M23)</f>
        <v/>
      </c>
      <c r="F23" s="51"/>
      <c r="G23" s="126" t="e">
        <f>D23/$D$13</f>
        <v>#DIV/0!</v>
      </c>
      <c r="H23" s="110" t="e">
        <f>IF(N23=0,"",(G23-N23)/N23)</f>
        <v>#DIV/0!</v>
      </c>
      <c r="I23" s="51"/>
      <c r="J23" s="112" t="e">
        <f>D23/$D$8</f>
        <v>#DIV/0!</v>
      </c>
      <c r="K23" s="110" t="e">
        <f>IF(O23=0,"",(J23-O23)/O23)</f>
        <v>#DIV/0!</v>
      </c>
      <c r="L23" s="51"/>
      <c r="M23" s="109">
        <f>M7-M13</f>
        <v>0</v>
      </c>
      <c r="N23" s="111" t="e">
        <f>M23/$M$13</f>
        <v>#DIV/0!</v>
      </c>
      <c r="O23" s="112" t="e">
        <f>M23/$M$8</f>
        <v>#DIV/0!</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V17"/>
  <sheetViews>
    <sheetView zoomScale="120" zoomScaleNormal="120" workbookViewId="0">
      <selection activeCell="B1" sqref="B1"/>
    </sheetView>
  </sheetViews>
  <sheetFormatPr defaultColWidth="8.7265625" defaultRowHeight="12.5"/>
  <cols>
    <col min="1" max="1" width="6.1796875" style="48" bestFit="1" customWidth="1"/>
    <col min="2" max="2" width="29.54296875" style="48" customWidth="1"/>
    <col min="3" max="3" width="1.81640625" style="48" customWidth="1"/>
    <col min="4" max="4" width="8" style="49" customWidth="1"/>
    <col min="5" max="5" width="5.26953125" style="54" customWidth="1"/>
    <col min="6" max="6" width="1.54296875" style="48" customWidth="1"/>
    <col min="7" max="7" width="6.26953125" style="54" customWidth="1"/>
    <col min="8" max="8" width="5.54296875" style="54" customWidth="1"/>
    <col min="9" max="9" width="2.54296875" style="48" customWidth="1"/>
    <col min="10" max="10" width="19" style="49" customWidth="1"/>
    <col min="11" max="11" width="6.453125" style="54" customWidth="1"/>
    <col min="12" max="16384" width="8.7265625" style="48"/>
  </cols>
  <sheetData>
    <row r="1" spans="1:22" ht="20">
      <c r="A1" s="142">
        <v>5.0999999999999996</v>
      </c>
      <c r="B1" s="47" t="str">
        <f>VLOOKUP("T0.7",Glossary,2,FALSE)</f>
        <v>Übersicht RTK</v>
      </c>
      <c r="C1" s="133"/>
      <c r="D1" s="134"/>
      <c r="E1" s="135"/>
      <c r="F1" s="133"/>
      <c r="G1" s="135"/>
      <c r="H1" s="135"/>
      <c r="I1" s="133"/>
      <c r="J1" s="134"/>
      <c r="K1" s="135"/>
      <c r="L1" s="133"/>
      <c r="M1" s="133"/>
      <c r="N1" s="133"/>
      <c r="O1" s="133"/>
      <c r="P1" s="133"/>
      <c r="Q1" s="133"/>
      <c r="R1" s="133"/>
      <c r="S1" s="133"/>
      <c r="T1" s="133"/>
      <c r="U1" s="133"/>
      <c r="V1" s="133"/>
    </row>
    <row r="2" spans="1:22" ht="20">
      <c r="A2" s="47"/>
      <c r="B2" s="47"/>
      <c r="C2" s="133"/>
      <c r="D2" s="134"/>
      <c r="E2" s="135"/>
      <c r="F2" s="133"/>
      <c r="G2" s="135"/>
      <c r="H2" s="135"/>
      <c r="I2" s="133"/>
      <c r="J2" s="134"/>
      <c r="K2" s="135"/>
      <c r="L2" s="133"/>
      <c r="M2" s="133"/>
      <c r="N2" s="133"/>
      <c r="O2" s="133"/>
      <c r="P2" s="133"/>
      <c r="Q2" s="133"/>
      <c r="R2" s="133"/>
      <c r="S2" s="133"/>
      <c r="T2" s="133"/>
      <c r="U2" s="133"/>
      <c r="V2" s="133"/>
    </row>
    <row r="3" spans="1:22">
      <c r="A3" s="133"/>
      <c r="B3" s="133"/>
      <c r="C3" s="130"/>
      <c r="D3" s="132"/>
      <c r="E3" s="136"/>
      <c r="F3" s="130"/>
      <c r="G3" s="136"/>
      <c r="H3" s="136"/>
      <c r="I3" s="130"/>
      <c r="J3" s="132"/>
      <c r="K3" s="136"/>
      <c r="L3" s="133"/>
      <c r="M3" s="133"/>
      <c r="N3" s="133"/>
      <c r="O3" s="133"/>
      <c r="P3" s="133"/>
      <c r="Q3" s="133"/>
      <c r="R3" s="133"/>
      <c r="S3" s="133"/>
      <c r="T3" s="133"/>
      <c r="U3" s="133"/>
      <c r="V3" s="133"/>
    </row>
    <row r="4" spans="1:22">
      <c r="A4" s="133"/>
      <c r="B4" s="58"/>
      <c r="C4" s="10"/>
      <c r="D4" s="12" t="str">
        <f>CONCATENATE("SST ",Jahr)</f>
        <v>SST 2025</v>
      </c>
      <c r="E4" s="12"/>
      <c r="F4" s="12"/>
      <c r="G4" s="12"/>
      <c r="H4" s="12"/>
      <c r="I4" s="52"/>
      <c r="J4" s="12" t="str">
        <f>CONCATENATE("SST ",Jahr-1)</f>
        <v>SST 2024</v>
      </c>
      <c r="K4" s="12"/>
      <c r="L4" s="133"/>
      <c r="M4" s="133"/>
      <c r="N4" s="133"/>
      <c r="O4" s="133"/>
      <c r="P4" s="133"/>
      <c r="Q4" s="133"/>
      <c r="R4" s="133"/>
      <c r="S4" s="133"/>
      <c r="T4" s="133"/>
      <c r="U4" s="133"/>
      <c r="V4" s="133"/>
    </row>
    <row r="5" spans="1:22" ht="50.5">
      <c r="A5" s="133"/>
      <c r="B5" s="59" t="str">
        <f>VLOOKUP("T3.r.1",Glossary,2,FALSE)</f>
        <v>Vorzeichenkonvention:  
RTK = Aktiven - Verbindlichkeiten + Abzüge + RAK</v>
      </c>
      <c r="C5" s="53"/>
      <c r="D5" s="13" t="str">
        <f>VLOOKUP("T3.c.1",Glossary,2,FALSE)</f>
        <v>Mio. CHF</v>
      </c>
      <c r="E5" s="90" t="str">
        <f>VLOOKUP("T3.c.2",Glossary,2,FALSE)</f>
        <v>Rel. Diff. Vorjahr</v>
      </c>
      <c r="F5" s="53"/>
      <c r="G5" s="6" t="str">
        <f>VLOOKUP("T3.c.3",Glossary,2,FALSE)</f>
        <v>Anteil Bilanz- summe SST-Bilanz</v>
      </c>
      <c r="H5" s="90" t="str">
        <f>VLOOKUP("T3.c.4",Glossary,2,FALSE)</f>
        <v>Rel. Diff. Vorjahr</v>
      </c>
      <c r="I5" s="51"/>
      <c r="J5" s="13" t="str">
        <f>VLOOKUP("T3.c.5",Glossary,2,FALSE)</f>
        <v>Mio. CHF</v>
      </c>
      <c r="K5" s="6" t="str">
        <f>VLOOKUP("T3.c.6",Glossary,2,FALSE)</f>
        <v>Anteil Bilanz- summe SST-Bilanz</v>
      </c>
      <c r="L5" s="130"/>
      <c r="M5" s="61"/>
      <c r="N5" s="62"/>
      <c r="O5" s="63"/>
      <c r="P5" s="62"/>
      <c r="Q5" s="62"/>
      <c r="R5" s="50"/>
      <c r="S5" s="61"/>
      <c r="T5" s="62"/>
      <c r="U5" s="130"/>
      <c r="V5" s="130"/>
    </row>
    <row r="6" spans="1:22">
      <c r="A6" s="133"/>
      <c r="B6" s="10"/>
      <c r="C6" s="10"/>
      <c r="D6" s="57"/>
      <c r="E6" s="91"/>
      <c r="F6" s="10"/>
      <c r="G6" s="56"/>
      <c r="H6" s="56"/>
      <c r="I6" s="10"/>
      <c r="J6" s="57"/>
      <c r="K6" s="56"/>
      <c r="L6" s="133"/>
      <c r="M6" s="133"/>
      <c r="N6" s="133"/>
      <c r="O6" s="133"/>
      <c r="P6" s="133"/>
      <c r="Q6" s="133"/>
      <c r="R6" s="133"/>
      <c r="S6" s="133"/>
      <c r="T6" s="133"/>
      <c r="U6" s="133"/>
      <c r="V6" s="133"/>
    </row>
    <row r="7" spans="1:22">
      <c r="A7" s="133"/>
      <c r="B7" s="4" t="str">
        <f>VLOOKUP("T3.r.2",Glossary,2,FALSE)</f>
        <v>Risikotragendes Kapital (RTK)</v>
      </c>
      <c r="C7" s="10"/>
      <c r="D7" s="15">
        <f>[1]Fundamental_Data!$C$101</f>
        <v>0</v>
      </c>
      <c r="E7" s="91" t="str">
        <f>IF(J7=0,"",(D7-J7)/J7)</f>
        <v/>
      </c>
      <c r="F7" s="10"/>
      <c r="G7" s="5" t="e">
        <f t="shared" ref="G7:G17" si="0">D7/$D$8</f>
        <v>#DIV/0!</v>
      </c>
      <c r="H7" s="91" t="e">
        <f t="shared" ref="H7:H17" si="1">IF(K7=0,"",(G7-K7)/K7)</f>
        <v>#DIV/0!</v>
      </c>
      <c r="I7" s="10"/>
      <c r="J7" s="15">
        <f>[2]Fundamental_Data!$C$101</f>
        <v>0</v>
      </c>
      <c r="K7" s="5" t="e">
        <f>J7/$J$8</f>
        <v>#DIV/0!</v>
      </c>
      <c r="L7" s="133"/>
      <c r="M7" s="133"/>
      <c r="N7" s="133"/>
      <c r="O7" s="133"/>
      <c r="P7" s="133"/>
      <c r="Q7" s="133"/>
      <c r="R7" s="133"/>
      <c r="S7" s="133"/>
      <c r="T7" s="133"/>
      <c r="U7" s="133"/>
      <c r="V7" s="133"/>
    </row>
    <row r="8" spans="1:22">
      <c r="A8" s="133"/>
      <c r="B8" s="8" t="str">
        <f>VLOOKUP("T3.r.3",Glossary,2,FALSE)</f>
        <v>Marktkonformer Wert Aktiven</v>
      </c>
      <c r="C8" s="10"/>
      <c r="D8" s="17">
        <f>[1]Fundamental_Data!$C$65</f>
        <v>0</v>
      </c>
      <c r="E8" s="91" t="str">
        <f t="shared" ref="E8:E17" si="2">IF(J8=0,"",(D8-J8)/J8)</f>
        <v/>
      </c>
      <c r="F8" s="10"/>
      <c r="G8" s="9" t="e">
        <f t="shared" si="0"/>
        <v>#DIV/0!</v>
      </c>
      <c r="H8" s="91" t="e">
        <f t="shared" si="1"/>
        <v>#DIV/0!</v>
      </c>
      <c r="I8" s="10"/>
      <c r="J8" s="17">
        <f>[2]Fundamental_Data!$C$66</f>
        <v>0</v>
      </c>
      <c r="K8" s="9" t="e">
        <f>J8/$J$8</f>
        <v>#DIV/0!</v>
      </c>
      <c r="L8" s="133"/>
      <c r="M8" s="133"/>
      <c r="N8" s="133"/>
      <c r="O8" s="133"/>
      <c r="P8" s="133"/>
      <c r="Q8" s="133"/>
      <c r="R8" s="133"/>
      <c r="S8" s="133"/>
      <c r="T8" s="133"/>
      <c r="U8" s="133"/>
      <c r="V8" s="133"/>
    </row>
    <row r="9" spans="1:22">
      <c r="A9" s="133"/>
      <c r="B9" s="64" t="str">
        <f>VLOOKUP("T3.r.4",Glossary,2,FALSE)</f>
        <v xml:space="preserve">    Kapitalanlagen</v>
      </c>
      <c r="C9" s="10"/>
      <c r="D9" s="57">
        <f>[1]Fundamental_Data!$C$45</f>
        <v>0</v>
      </c>
      <c r="E9" s="91" t="str">
        <f t="shared" si="2"/>
        <v/>
      </c>
      <c r="F9" s="10"/>
      <c r="G9" s="56" t="e">
        <f t="shared" si="0"/>
        <v>#DIV/0!</v>
      </c>
      <c r="H9" s="91" t="e">
        <f t="shared" si="1"/>
        <v>#DIV/0!</v>
      </c>
      <c r="I9" s="10"/>
      <c r="J9" s="57">
        <f>[2]Fundamental_Data!$C$45</f>
        <v>0</v>
      </c>
      <c r="K9" s="56" t="e">
        <f t="shared" ref="K9:K15" si="3">J9/$J$8</f>
        <v>#DIV/0!</v>
      </c>
      <c r="L9" s="133"/>
      <c r="M9" s="133"/>
      <c r="N9" s="133"/>
      <c r="O9" s="133"/>
      <c r="P9" s="133"/>
      <c r="Q9" s="133"/>
      <c r="R9" s="133"/>
      <c r="S9" s="133"/>
      <c r="T9" s="133"/>
      <c r="U9" s="133"/>
      <c r="V9" s="133"/>
    </row>
    <row r="10" spans="1:22">
      <c r="A10" s="133"/>
      <c r="B10" s="64" t="str">
        <f>VLOOKUP("T3.r.6",Glossary,2,FALSE)</f>
        <v xml:space="preserve">    Übrige Aktiven</v>
      </c>
      <c r="C10" s="10"/>
      <c r="D10" s="57">
        <f>[1]Fundamental_Data!$C$63</f>
        <v>0</v>
      </c>
      <c r="E10" s="91" t="str">
        <f t="shared" si="2"/>
        <v/>
      </c>
      <c r="F10" s="10"/>
      <c r="G10" s="56" t="e">
        <f t="shared" si="0"/>
        <v>#DIV/0!</v>
      </c>
      <c r="H10" s="91" t="e">
        <f t="shared" si="1"/>
        <v>#DIV/0!</v>
      </c>
      <c r="I10" s="10"/>
      <c r="J10" s="57">
        <f>[2]Fundamental_Data!$C$64</f>
        <v>0</v>
      </c>
      <c r="K10" s="56" t="e">
        <f t="shared" si="3"/>
        <v>#DIV/0!</v>
      </c>
      <c r="L10" s="133"/>
      <c r="M10" s="133"/>
      <c r="N10" s="133"/>
      <c r="O10" s="133"/>
      <c r="P10" s="133"/>
      <c r="Q10" s="133"/>
      <c r="R10" s="133"/>
      <c r="S10" s="133"/>
      <c r="T10" s="133"/>
      <c r="U10" s="133"/>
      <c r="V10" s="133"/>
    </row>
    <row r="11" spans="1:22" ht="16">
      <c r="A11" s="133"/>
      <c r="B11" s="89" t="str">
        <f>VLOOKUP("T3.r.5",Glossary,2,FALSE)</f>
        <v xml:space="preserve">    davon Anteil versicherungstechnische Rückstellungen aus Rückversicherung</v>
      </c>
      <c r="C11" s="10"/>
      <c r="D11" s="57">
        <f>[1]Fundamental_Data!$C$53</f>
        <v>0</v>
      </c>
      <c r="E11" s="91" t="str">
        <f t="shared" si="2"/>
        <v/>
      </c>
      <c r="F11" s="10"/>
      <c r="G11" s="56" t="e">
        <f t="shared" si="0"/>
        <v>#DIV/0!</v>
      </c>
      <c r="H11" s="91" t="e">
        <f t="shared" si="1"/>
        <v>#DIV/0!</v>
      </c>
      <c r="I11" s="10"/>
      <c r="J11" s="57">
        <f>[2]Fundamental_Data!$C$53</f>
        <v>0</v>
      </c>
      <c r="K11" s="56" t="e">
        <f t="shared" si="3"/>
        <v>#DIV/0!</v>
      </c>
      <c r="L11" s="133"/>
      <c r="M11" s="133"/>
      <c r="N11" s="133"/>
      <c r="O11" s="133"/>
      <c r="P11" s="133"/>
      <c r="Q11" s="133"/>
      <c r="R11" s="133"/>
      <c r="S11" s="133"/>
      <c r="T11" s="133"/>
      <c r="U11" s="133"/>
      <c r="V11" s="133"/>
    </row>
    <row r="12" spans="1:22">
      <c r="A12" s="133"/>
      <c r="B12" s="8" t="str">
        <f>VLOOKUP("T3.r.7",Glossary,2,FALSE)</f>
        <v>Verbindlichkeiten</v>
      </c>
      <c r="C12" s="10"/>
      <c r="D12" s="17">
        <f>[1]Fundamental_Data!$C$92</f>
        <v>0</v>
      </c>
      <c r="E12" s="91" t="str">
        <f t="shared" si="2"/>
        <v/>
      </c>
      <c r="F12" s="10"/>
      <c r="G12" s="9" t="e">
        <f t="shared" si="0"/>
        <v>#DIV/0!</v>
      </c>
      <c r="H12" s="91" t="e">
        <f t="shared" si="1"/>
        <v>#DIV/0!</v>
      </c>
      <c r="I12" s="10"/>
      <c r="J12" s="17">
        <f>[2]Fundamental_Data!$C$92</f>
        <v>0</v>
      </c>
      <c r="K12" s="9" t="e">
        <f t="shared" si="3"/>
        <v>#DIV/0!</v>
      </c>
      <c r="L12" s="133"/>
      <c r="M12" s="133"/>
      <c r="N12" s="133"/>
      <c r="O12" s="133"/>
      <c r="P12" s="133"/>
      <c r="Q12" s="133"/>
      <c r="R12" s="133"/>
      <c r="S12" s="133"/>
      <c r="T12" s="133"/>
      <c r="U12" s="133"/>
      <c r="V12" s="133"/>
    </row>
    <row r="13" spans="1:22" ht="13.5" customHeight="1">
      <c r="A13" s="133"/>
      <c r="B13" s="64" t="str">
        <f>VLOOKUP("T3.r.8",Glossary,2,FALSE)</f>
        <v xml:space="preserve">    Best Estimate der Versicherungsverpflichtungen</v>
      </c>
      <c r="C13" s="10"/>
      <c r="D13" s="57">
        <f>[1]Fundamental_Data!$C$68+SUM([1]Fundamental_Data!$C$72:$C$82)</f>
        <v>0</v>
      </c>
      <c r="E13" s="91" t="str">
        <f t="shared" si="2"/>
        <v/>
      </c>
      <c r="F13" s="10"/>
      <c r="G13" s="56" t="e">
        <f t="shared" si="0"/>
        <v>#DIV/0!</v>
      </c>
      <c r="H13" s="91" t="e">
        <f t="shared" si="1"/>
        <v>#DIV/0!</v>
      </c>
      <c r="I13" s="10"/>
      <c r="J13" s="57">
        <f>[2]Fundamental_Data!$C$69+SUM([2]Fundamental_Data!$C$73:$C$82)</f>
        <v>0</v>
      </c>
      <c r="K13" s="56" t="e">
        <f t="shared" si="3"/>
        <v>#DIV/0!</v>
      </c>
      <c r="L13" s="133"/>
      <c r="M13" s="133"/>
      <c r="N13" s="133"/>
      <c r="O13" s="133"/>
      <c r="P13" s="133"/>
      <c r="Q13" s="133"/>
      <c r="R13" s="133"/>
      <c r="S13" s="133"/>
      <c r="T13" s="133"/>
      <c r="U13" s="133"/>
      <c r="V13" s="133"/>
    </row>
    <row r="14" spans="1:22" ht="13.5" customHeight="1">
      <c r="A14" s="133"/>
      <c r="B14" s="64" t="str">
        <f>VLOOKUP("T3.r.9",Glossary,2,FALSE)</f>
        <v xml:space="preserve">    Mindestbetrag (MVM)</v>
      </c>
      <c r="C14" s="10"/>
      <c r="D14" s="57">
        <f>[1]Fundamental_Data!$C$83</f>
        <v>0</v>
      </c>
      <c r="E14" s="91" t="str">
        <f t="shared" si="2"/>
        <v/>
      </c>
      <c r="F14" s="10"/>
      <c r="G14" s="56" t="e">
        <f t="shared" si="0"/>
        <v>#DIV/0!</v>
      </c>
      <c r="H14" s="91" t="e">
        <f t="shared" si="1"/>
        <v>#DIV/0!</v>
      </c>
      <c r="I14" s="10"/>
      <c r="J14" s="57">
        <f>[2]Fundamental_Data!$C$83</f>
        <v>0</v>
      </c>
      <c r="K14" s="56" t="e">
        <f t="shared" si="3"/>
        <v>#DIV/0!</v>
      </c>
      <c r="L14" s="133"/>
      <c r="M14" s="133"/>
      <c r="N14" s="133"/>
      <c r="O14" s="133"/>
      <c r="P14" s="133"/>
      <c r="Q14" s="133"/>
      <c r="R14" s="133"/>
      <c r="S14" s="133"/>
      <c r="T14" s="133"/>
      <c r="U14" s="133"/>
      <c r="V14" s="133"/>
    </row>
    <row r="15" spans="1:22">
      <c r="A15" s="133"/>
      <c r="B15" s="64" t="str">
        <f>VLOOKUP("T3.r.10",Glossary,2,FALSE)</f>
        <v xml:space="preserve">    Marktkonformer Wert der übrigen Verbindlichkeiten</v>
      </c>
      <c r="C15" s="10"/>
      <c r="D15" s="57">
        <f>SUM([1]Fundamental_Data!$C$84:$C$90)</f>
        <v>0</v>
      </c>
      <c r="E15" s="91" t="str">
        <f t="shared" si="2"/>
        <v/>
      </c>
      <c r="F15" s="10"/>
      <c r="G15" s="56" t="e">
        <f t="shared" si="0"/>
        <v>#DIV/0!</v>
      </c>
      <c r="H15" s="91" t="e">
        <f t="shared" si="1"/>
        <v>#DIV/0!</v>
      </c>
      <c r="I15" s="10"/>
      <c r="J15" s="57">
        <f>SUM([2]Fundamental_Data!$C$84:$C$90)</f>
        <v>0</v>
      </c>
      <c r="K15" s="56" t="e">
        <f t="shared" si="3"/>
        <v>#DIV/0!</v>
      </c>
      <c r="L15" s="133"/>
      <c r="M15" s="133"/>
      <c r="N15" s="133"/>
      <c r="O15" s="133"/>
      <c r="P15" s="133"/>
      <c r="Q15" s="133"/>
      <c r="R15" s="133"/>
      <c r="S15" s="133"/>
      <c r="T15" s="133"/>
      <c r="U15" s="133"/>
      <c r="V15" s="133"/>
    </row>
    <row r="16" spans="1:22">
      <c r="A16" s="133"/>
      <c r="B16" s="8" t="str">
        <f>VLOOKUP("T3.r.11",Glossary,2,FALSE)</f>
        <v>Abzüge</v>
      </c>
      <c r="C16" s="10"/>
      <c r="D16" s="17">
        <f>[1]Fundamental_Data!$C$96</f>
        <v>0</v>
      </c>
      <c r="E16" s="91" t="str">
        <f t="shared" si="2"/>
        <v/>
      </c>
      <c r="F16" s="10"/>
      <c r="G16" s="9" t="e">
        <f t="shared" si="0"/>
        <v>#DIV/0!</v>
      </c>
      <c r="H16" s="91" t="e">
        <f t="shared" si="1"/>
        <v>#DIV/0!</v>
      </c>
      <c r="I16" s="10"/>
      <c r="J16" s="17">
        <f>[2]Fundamental_Data!$C$96</f>
        <v>0</v>
      </c>
      <c r="K16" s="9" t="e">
        <f>J16/$J$8</f>
        <v>#DIV/0!</v>
      </c>
      <c r="L16" s="133"/>
      <c r="M16" s="133"/>
      <c r="N16" s="133"/>
      <c r="O16" s="133"/>
      <c r="P16" s="133"/>
      <c r="Q16" s="133"/>
      <c r="R16" s="133"/>
      <c r="S16" s="133"/>
      <c r="T16" s="133"/>
      <c r="U16" s="133"/>
      <c r="V16" s="133"/>
    </row>
    <row r="17" spans="2:11">
      <c r="B17" s="31" t="str">
        <f>VLOOKUP("T3.r.12",Glossary,2,FALSE)</f>
        <v>RAK (im RTK angerechnet)</v>
      </c>
      <c r="C17" s="51"/>
      <c r="D17" s="18">
        <f>[1]Fundamental_Data!$C$98+[1]Fundamental_Data!$C$100</f>
        <v>0</v>
      </c>
      <c r="E17" s="92" t="str">
        <f t="shared" si="2"/>
        <v/>
      </c>
      <c r="F17" s="51"/>
      <c r="G17" s="11" t="e">
        <f t="shared" si="0"/>
        <v>#DIV/0!</v>
      </c>
      <c r="H17" s="92" t="e">
        <f t="shared" si="1"/>
        <v>#DIV/0!</v>
      </c>
      <c r="I17" s="51"/>
      <c r="J17" s="18">
        <f>[2]Fundamental_Data!$C$98+[2]Fundamental_Data!$C$100</f>
        <v>0</v>
      </c>
      <c r="K17" s="11" t="e">
        <f>J17/$J$8</f>
        <v>#DIV/0!</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dimension ref="A1:K280"/>
  <sheetViews>
    <sheetView showGridLines="0" zoomScaleNormal="100" workbookViewId="0">
      <selection activeCell="B1" sqref="B1"/>
    </sheetView>
  </sheetViews>
  <sheetFormatPr defaultColWidth="8.7265625" defaultRowHeight="12.5"/>
  <cols>
    <col min="1" max="1" width="6.1796875" style="23" bestFit="1" customWidth="1"/>
    <col min="2" max="2" width="76.7265625" style="23" customWidth="1"/>
    <col min="3" max="3" width="12.1796875" style="23" customWidth="1"/>
    <col min="4" max="4" width="11.1796875" style="23" customWidth="1"/>
    <col min="5" max="5" width="12.1796875" style="23" customWidth="1"/>
    <col min="6" max="6" width="14.54296875" style="23" customWidth="1"/>
    <col min="7" max="7" width="6.81640625" style="23" bestFit="1" customWidth="1"/>
    <col min="8" max="8" width="9.26953125" style="23" bestFit="1" customWidth="1"/>
    <col min="9" max="10" width="8.54296875" style="23" bestFit="1" customWidth="1"/>
    <col min="11" max="16384" width="8.7265625" style="23"/>
  </cols>
  <sheetData>
    <row r="1" spans="1:8" ht="20">
      <c r="A1" s="144">
        <v>5.4</v>
      </c>
      <c r="B1" s="45" t="str">
        <f>VLOOKUP("T0.8",Glossary,2,FALSE)</f>
        <v xml:space="preserve">Überleitung aus der geprüften Bilanz </v>
      </c>
    </row>
    <row r="2" spans="1:8">
      <c r="B2" s="24"/>
    </row>
    <row r="3" spans="1:8">
      <c r="B3" s="23" t="s">
        <v>1161</v>
      </c>
    </row>
    <row r="4" spans="1:8" s="24" customFormat="1"/>
    <row r="5" spans="1:8" ht="13">
      <c r="B5" s="41"/>
      <c r="C5" s="42" t="str">
        <f>VLOOKUP("T6.c.1",Glossary,2,FALSE)</f>
        <v>Statutarische Bilanz</v>
      </c>
      <c r="D5" s="42"/>
      <c r="E5" s="42" t="str">
        <f>VLOOKUP("T6.c.2",Glossary,2,FALSE)</f>
        <v>SST-Bilanz</v>
      </c>
      <c r="F5" s="42"/>
      <c r="H5" s="23" t="s">
        <v>4</v>
      </c>
    </row>
    <row r="6" spans="1:8" ht="13">
      <c r="A6" s="40"/>
      <c r="B6" s="41" t="str">
        <f>VLOOKUP("T6.r.1",Glossary,2,FALSE)</f>
        <v>Aktiven</v>
      </c>
      <c r="C6" s="43">
        <f>Jahr</f>
        <v>2025</v>
      </c>
      <c r="D6" s="43">
        <f>Jahr-1</f>
        <v>2024</v>
      </c>
      <c r="E6" s="43">
        <f>Jahr</f>
        <v>2025</v>
      </c>
      <c r="F6" s="43">
        <f>Jahr-1</f>
        <v>2024</v>
      </c>
      <c r="H6" s="23" t="s">
        <v>5</v>
      </c>
    </row>
    <row r="7" spans="1:8" ht="14.5">
      <c r="A7" s="39"/>
      <c r="B7" s="44" t="str">
        <f>VLOOKUP("T6.r.7",Glossary,2,FALSE)</f>
        <v>1.1 Kapitalanlagen</v>
      </c>
      <c r="C7" s="173"/>
      <c r="D7" s="174"/>
      <c r="E7" s="174"/>
      <c r="F7" s="174"/>
      <c r="H7" s="29" t="s">
        <v>1141</v>
      </c>
    </row>
    <row r="8" spans="1:8" ht="14.5">
      <c r="A8" s="39"/>
      <c r="B8" s="44" t="str">
        <f>VLOOKUP("T6.r.8",Glossary,2,FALSE)</f>
        <v>1.1.1 Immobilien</v>
      </c>
      <c r="C8" s="175">
        <f>[4]Differences_Stat_SSTBalance!$G$8</f>
        <v>0</v>
      </c>
      <c r="D8" s="176">
        <f>[5]Differences_Stat_SSTBalance!$F$8</f>
        <v>0</v>
      </c>
      <c r="E8" s="176">
        <f>'[4]SST Balance Sheet'!$F$8</f>
        <v>0</v>
      </c>
      <c r="F8" s="176">
        <f>'[5]SST Balance Sheet'!$E$8</f>
        <v>0</v>
      </c>
      <c r="H8" s="29" t="str">
        <f t="shared" ref="H8:H37" si="0">IF(AND(C8=0,D8=0,E8=0,F8=0,ISNUMBER(C8)),"No","Yes")</f>
        <v>No</v>
      </c>
    </row>
    <row r="9" spans="1:8" s="148" customFormat="1" ht="14.5">
      <c r="A9" s="146"/>
      <c r="B9" s="147" t="str">
        <f>VLOOKUP("T6.r.9",Glossary,2,FALSE)</f>
        <v>Wohnimmobilien</v>
      </c>
      <c r="C9" s="177">
        <f>[4]Differences_Stat_SSTBalance!$G$9</f>
        <v>0</v>
      </c>
      <c r="D9" s="178">
        <f>SUM(D10:D11)</f>
        <v>0</v>
      </c>
      <c r="E9" s="178">
        <f>'[4]SST Balance Sheet'!$F$9</f>
        <v>0</v>
      </c>
      <c r="F9" s="178">
        <f>SUM(F10:F11)</f>
        <v>0</v>
      </c>
      <c r="H9" s="29" t="str">
        <f t="shared" si="0"/>
        <v>No</v>
      </c>
    </row>
    <row r="10" spans="1:8" ht="14.5">
      <c r="A10" s="39"/>
      <c r="B10" s="29" t="str">
        <f>VLOOKUP("T6.r.10",Glossary,2,FALSE)</f>
        <v>Wohnimmobilien: Inland</v>
      </c>
      <c r="C10" s="177">
        <f>[4]Differences_Stat_SSTBalance!$G$10</f>
        <v>0</v>
      </c>
      <c r="D10" s="179">
        <f>[5]Differences_Stat_SSTBalance!$F$9</f>
        <v>0</v>
      </c>
      <c r="E10" s="178">
        <f>'[4]SST Balance Sheet'!$F$10</f>
        <v>0</v>
      </c>
      <c r="F10" s="179">
        <f>'[5]SST Balance Sheet'!$E$9</f>
        <v>0</v>
      </c>
      <c r="H10" s="29" t="str">
        <f t="shared" si="0"/>
        <v>No</v>
      </c>
    </row>
    <row r="11" spans="1:8" ht="14.5">
      <c r="A11" s="39"/>
      <c r="B11" s="29" t="str">
        <f>VLOOKUP("T6.r.11",Glossary,2,FALSE)</f>
        <v>Wohnimmobilien: Ausland</v>
      </c>
      <c r="C11" s="177">
        <f>[4]Differences_Stat_SSTBalance!$G$11</f>
        <v>0</v>
      </c>
      <c r="D11" s="179">
        <f>[5]Differences_Stat_SSTBalance!$F$10</f>
        <v>0</v>
      </c>
      <c r="E11" s="178">
        <f>'[4]SST Balance Sheet'!$F$11</f>
        <v>0</v>
      </c>
      <c r="F11" s="179">
        <f>'[5]SST Balance Sheet'!$E$10</f>
        <v>0</v>
      </c>
      <c r="H11" s="29" t="str">
        <f t="shared" si="0"/>
        <v>No</v>
      </c>
    </row>
    <row r="12" spans="1:8" ht="14.5">
      <c r="A12" s="39"/>
      <c r="B12" s="23" t="str">
        <f>VLOOKUP("T6.r.12",Glossary,2,FALSE)</f>
        <v>Kommerzielle Liegenschaften</v>
      </c>
      <c r="C12" s="177">
        <f>[4]Differences_Stat_SSTBalance!$G$12</f>
        <v>0</v>
      </c>
      <c r="D12" s="178">
        <f>SUM(D13:D14)</f>
        <v>0</v>
      </c>
      <c r="E12" s="178">
        <f>'[4]SST Balance Sheet'!$F$12</f>
        <v>0</v>
      </c>
      <c r="F12" s="179">
        <f>SUM(F13:F14)</f>
        <v>0</v>
      </c>
      <c r="H12" s="29" t="str">
        <f t="shared" si="0"/>
        <v>No</v>
      </c>
    </row>
    <row r="13" spans="1:8" ht="14.5">
      <c r="A13" s="39"/>
      <c r="B13" s="29" t="str">
        <f>VLOOKUP("T6.r.13",Glossary,2,FALSE)</f>
        <v>Kommerzielle Liegenschaften: Inland</v>
      </c>
      <c r="C13" s="177">
        <f>[4]Differences_Stat_SSTBalance!$G$13</f>
        <v>0</v>
      </c>
      <c r="D13" s="178">
        <f>[5]Differences_Stat_SSTBalance!$F$11</f>
        <v>0</v>
      </c>
      <c r="E13" s="178">
        <f>'[4]SST Balance Sheet'!$F$13</f>
        <v>0</v>
      </c>
      <c r="F13" s="179">
        <f>'[5]SST Balance Sheet'!$E$11</f>
        <v>0</v>
      </c>
      <c r="H13" s="29" t="str">
        <f t="shared" si="0"/>
        <v>No</v>
      </c>
    </row>
    <row r="14" spans="1:8" ht="14.5">
      <c r="A14" s="39"/>
      <c r="B14" s="29" t="str">
        <f>VLOOKUP("T6.r.14",Glossary,2,FALSE)</f>
        <v>Kommerzielle Liegenschaften: Ausland</v>
      </c>
      <c r="C14" s="177">
        <f>[4]Differences_Stat_SSTBalance!$G$14</f>
        <v>0</v>
      </c>
      <c r="D14" s="178">
        <f>[5]Differences_Stat_SSTBalance!$F$12</f>
        <v>0</v>
      </c>
      <c r="E14" s="178">
        <f>'[4]SST Balance Sheet'!$F$14</f>
        <v>0</v>
      </c>
      <c r="F14" s="179">
        <f>'[5]SST Balance Sheet'!$E$12</f>
        <v>0</v>
      </c>
      <c r="H14" s="29" t="str">
        <f t="shared" si="0"/>
        <v>No</v>
      </c>
    </row>
    <row r="15" spans="1:8" ht="14.5">
      <c r="A15" s="39"/>
      <c r="B15" s="23" t="str">
        <f>VLOOKUP("T6.r.15",Glossary,2,FALSE)</f>
        <v>Gemischtgenutzte Immobilien</v>
      </c>
      <c r="C15" s="177">
        <f>[4]Differences_Stat_SSTBalance!$G$15</f>
        <v>0</v>
      </c>
      <c r="D15" s="161"/>
      <c r="E15" s="178">
        <f>'[4]SST Balance Sheet'!$F$15</f>
        <v>0</v>
      </c>
      <c r="F15" s="161"/>
      <c r="H15" s="29" t="str">
        <f t="shared" si="0"/>
        <v>No</v>
      </c>
    </row>
    <row r="16" spans="1:8" ht="14.5">
      <c r="A16" s="39"/>
      <c r="B16" s="29" t="str">
        <f>VLOOKUP("T6.r.16",Glossary,2,FALSE)</f>
        <v>Gemischtgenutzte Immobilien: Inland</v>
      </c>
      <c r="C16" s="177">
        <f>[4]Differences_Stat_SSTBalance!$G$16</f>
        <v>0</v>
      </c>
      <c r="D16" s="178">
        <f>[5]Differences_Stat_SSTBalance!$F$13</f>
        <v>0</v>
      </c>
      <c r="E16" s="178">
        <f>'[4]SST Balance Sheet'!$F$16</f>
        <v>0</v>
      </c>
      <c r="F16" s="179">
        <f>'[5]SST Balance Sheet'!$E$13</f>
        <v>0</v>
      </c>
      <c r="H16" s="29" t="str">
        <f t="shared" si="0"/>
        <v>No</v>
      </c>
    </row>
    <row r="17" spans="1:9" ht="14.5">
      <c r="A17" s="39"/>
      <c r="B17" s="29" t="str">
        <f>VLOOKUP("T6.r.17",Glossary,2,FALSE)</f>
        <v>Gemischtgenutzte Immobilien: Ausland</v>
      </c>
      <c r="C17" s="177">
        <f>[4]Differences_Stat_SSTBalance!$G$17</f>
        <v>0</v>
      </c>
      <c r="D17" s="161"/>
      <c r="E17" s="178">
        <f>'[4]SST Balance Sheet'!$F$17</f>
        <v>0</v>
      </c>
      <c r="F17" s="161"/>
      <c r="H17" s="29" t="str">
        <f t="shared" si="0"/>
        <v>No</v>
      </c>
    </row>
    <row r="18" spans="1:9" ht="14.5">
      <c r="A18" s="39"/>
      <c r="B18" s="23" t="str">
        <f>VLOOKUP("T6.r.18",Glossary,2,FALSE)</f>
        <v>Übrige Immobilien</v>
      </c>
      <c r="C18" s="177">
        <f>[4]Differences_Stat_SSTBalance!$G$18</f>
        <v>0</v>
      </c>
      <c r="D18" s="161"/>
      <c r="E18" s="178">
        <f>'[4]SST Balance Sheet'!$F$18</f>
        <v>0</v>
      </c>
      <c r="F18" s="161"/>
      <c r="H18" s="29" t="str">
        <f t="shared" si="0"/>
        <v>No</v>
      </c>
      <c r="I18" s="170"/>
    </row>
    <row r="19" spans="1:9" ht="14.5">
      <c r="A19" s="39"/>
      <c r="C19" s="180"/>
      <c r="D19" s="179"/>
      <c r="E19" s="179"/>
      <c r="F19" s="179"/>
      <c r="H19" s="29" t="s">
        <v>1141</v>
      </c>
    </row>
    <row r="20" spans="1:9" ht="14.5">
      <c r="A20" s="39"/>
      <c r="B20" s="44" t="str">
        <f>VLOOKUP("T6.r.19",Glossary,2,FALSE)</f>
        <v>1.1.2 Beteiligungen</v>
      </c>
      <c r="C20" s="175">
        <f>[4]Differences_Stat_SSTBalance!$G$20</f>
        <v>0</v>
      </c>
      <c r="D20" s="176">
        <f>[5]Differences_Stat_SSTBalance!$F$19</f>
        <v>0</v>
      </c>
      <c r="E20" s="176">
        <f>'[4]SST Balance Sheet'!$F$20</f>
        <v>0</v>
      </c>
      <c r="F20" s="176">
        <f>'[5]SST Balance Sheet'!$E$19</f>
        <v>0</v>
      </c>
      <c r="H20" s="29" t="str">
        <f t="shared" si="0"/>
        <v>No</v>
      </c>
    </row>
    <row r="21" spans="1:9" ht="14.5">
      <c r="A21" s="39"/>
      <c r="B21" s="160" t="str">
        <f>VLOOKUP("T6.r.20",Glossary,2,FALSE)</f>
        <v>Beteiligungen: Quote &gt; 50 %</v>
      </c>
      <c r="C21" s="177">
        <f>[4]Differences_Stat_SSTBalance!$G$21</f>
        <v>0</v>
      </c>
      <c r="D21" s="178">
        <f>[5]Differences_Stat_SSTBalance!$F$20</f>
        <v>0</v>
      </c>
      <c r="E21" s="178">
        <f>'[4]SST Balance Sheet'!$F$21</f>
        <v>0</v>
      </c>
      <c r="F21" s="179">
        <f>'[5]SST Balance Sheet'!$E$20</f>
        <v>0</v>
      </c>
      <c r="H21" s="29" t="str">
        <f t="shared" si="0"/>
        <v>No</v>
      </c>
    </row>
    <row r="22" spans="1:9" ht="14.5">
      <c r="A22" s="39"/>
      <c r="B22" s="23" t="str">
        <f>VLOOKUP("T6.r.21",Glossary,2,FALSE)</f>
        <v>Beteiligungen an Versicherungsgesellschaften</v>
      </c>
      <c r="C22" s="177">
        <f>[4]Differences_Stat_SSTBalance!$G$22</f>
        <v>0</v>
      </c>
      <c r="D22" s="178">
        <f>[5]Differences_Stat_SSTBalance!$F$21</f>
        <v>0</v>
      </c>
      <c r="E22" s="178">
        <f>'[4]SST Balance Sheet'!$F$22</f>
        <v>0</v>
      </c>
      <c r="F22" s="179">
        <f>'[5]SST Balance Sheet'!$E$21</f>
        <v>0</v>
      </c>
      <c r="H22" s="29" t="str">
        <f t="shared" si="0"/>
        <v>No</v>
      </c>
    </row>
    <row r="23" spans="1:9" ht="14.5">
      <c r="A23" s="39"/>
      <c r="B23" s="23" t="str">
        <f>VLOOKUP("T6.r.22",Glossary,2,FALSE)</f>
        <v>Übrige Beteiligungen</v>
      </c>
      <c r="C23" s="177">
        <f>[4]Differences_Stat_SSTBalance!$G$23</f>
        <v>0</v>
      </c>
      <c r="D23" s="178">
        <f>[5]Differences_Stat_SSTBalance!$F$22</f>
        <v>0</v>
      </c>
      <c r="E23" s="178">
        <f>'[4]SST Balance Sheet'!$F$23</f>
        <v>0</v>
      </c>
      <c r="F23" s="179">
        <f>'[5]SST Balance Sheet'!$E$22</f>
        <v>0</v>
      </c>
      <c r="H23" s="29" t="str">
        <f t="shared" si="0"/>
        <v>No</v>
      </c>
    </row>
    <row r="24" spans="1:9" ht="14.5">
      <c r="A24" s="39"/>
      <c r="C24" s="177"/>
      <c r="D24" s="178"/>
      <c r="E24" s="178"/>
      <c r="F24" s="179"/>
      <c r="H24" s="29" t="s">
        <v>1141</v>
      </c>
    </row>
    <row r="25" spans="1:9" ht="14.5">
      <c r="A25" s="39"/>
      <c r="B25" s="160" t="str">
        <f>VLOOKUP("T6.r.23",Glossary,2,FALSE)</f>
        <v>Beteiligungen: Quote 20 % bis 50 %</v>
      </c>
      <c r="C25" s="177">
        <f>[4]Differences_Stat_SSTBalance!$G$25</f>
        <v>0</v>
      </c>
      <c r="D25" s="178">
        <f>[5]Differences_Stat_SSTBalance!$F$24</f>
        <v>0</v>
      </c>
      <c r="E25" s="178">
        <f>'[4]SST Balance Sheet'!$F$25</f>
        <v>0</v>
      </c>
      <c r="F25" s="179">
        <f>'[5]SST Balance Sheet'!$E$24</f>
        <v>0</v>
      </c>
      <c r="H25" s="29" t="str">
        <f t="shared" si="0"/>
        <v>No</v>
      </c>
    </row>
    <row r="26" spans="1:9" ht="14.5">
      <c r="A26" s="39"/>
      <c r="B26" s="23" t="str">
        <f>VLOOKUP("T6.r.24",Glossary,2,FALSE)</f>
        <v>Beteiligungen an Versicherungsgesellschaften</v>
      </c>
      <c r="C26" s="177">
        <f>[4]Differences_Stat_SSTBalance!$G$26</f>
        <v>0</v>
      </c>
      <c r="D26" s="178">
        <f>[5]Differences_Stat_SSTBalance!$F$25</f>
        <v>0</v>
      </c>
      <c r="E26" s="178">
        <f>'[4]SST Balance Sheet'!$F$26</f>
        <v>0</v>
      </c>
      <c r="F26" s="179">
        <f>'[5]SST Balance Sheet'!$E$25</f>
        <v>0</v>
      </c>
      <c r="H26" s="29" t="str">
        <f t="shared" si="0"/>
        <v>No</v>
      </c>
    </row>
    <row r="27" spans="1:9" ht="14.5">
      <c r="A27" s="39"/>
      <c r="B27" s="23" t="str">
        <f>VLOOKUP("T6.r.25",Glossary,2,FALSE)</f>
        <v>Übrige Beteiligungen</v>
      </c>
      <c r="C27" s="177">
        <f>[4]Differences_Stat_SSTBalance!$G$27</f>
        <v>0</v>
      </c>
      <c r="D27" s="178">
        <f>[5]Differences_Stat_SSTBalance!$F$26</f>
        <v>0</v>
      </c>
      <c r="E27" s="178">
        <f>'[4]SST Balance Sheet'!$F$27</f>
        <v>0</v>
      </c>
      <c r="F27" s="179">
        <f>'[5]SST Balance Sheet'!$E$26</f>
        <v>0</v>
      </c>
      <c r="H27" s="29" t="str">
        <f t="shared" si="0"/>
        <v>No</v>
      </c>
    </row>
    <row r="28" spans="1:9" ht="14.5">
      <c r="A28" s="39"/>
      <c r="C28" s="177"/>
      <c r="D28" s="178"/>
      <c r="E28" s="178"/>
      <c r="F28" s="179"/>
      <c r="H28" s="29" t="s">
        <v>1141</v>
      </c>
    </row>
    <row r="29" spans="1:9" ht="14.5">
      <c r="A29" s="39"/>
      <c r="B29" s="44" t="str">
        <f>VLOOKUP("T6.r.26",Glossary,2,FALSE)</f>
        <v>1.1.3 Festverzinsliche Wertpapiere</v>
      </c>
      <c r="C29" s="175">
        <f>[4]Differences_Stat_SSTBalance!$G$29</f>
        <v>0</v>
      </c>
      <c r="D29" s="176">
        <f>[5]Differences_Stat_SSTBalance!$F$28</f>
        <v>0</v>
      </c>
      <c r="E29" s="176">
        <f>'[4]SST Balance Sheet'!$F$29</f>
        <v>0</v>
      </c>
      <c r="F29" s="176">
        <f>'[5]SST Balance Sheet'!$E$28</f>
        <v>0</v>
      </c>
      <c r="H29" s="29" t="str">
        <f t="shared" si="0"/>
        <v>No</v>
      </c>
    </row>
    <row r="30" spans="1:9" ht="14.5">
      <c r="A30" s="39"/>
      <c r="B30" s="23" t="str">
        <f>VLOOKUP("T6.r.27",Glossary,2,FALSE)</f>
        <v>Staats- und Zentralbankenanleihen</v>
      </c>
      <c r="C30" s="177">
        <f>[4]Differences_Stat_SSTBalance!$G$30</f>
        <v>0</v>
      </c>
      <c r="D30" s="178">
        <f>[5]Differences_Stat_SSTBalance!$F$29</f>
        <v>0</v>
      </c>
      <c r="E30" s="178">
        <f>'[4]SST Balance Sheet'!$F$30</f>
        <v>0</v>
      </c>
      <c r="F30" s="179">
        <f>'[5]SST Balance Sheet'!$E$29</f>
        <v>0</v>
      </c>
      <c r="H30" s="29" t="str">
        <f t="shared" si="0"/>
        <v>No</v>
      </c>
    </row>
    <row r="31" spans="1:9" ht="14.5">
      <c r="A31" s="39"/>
      <c r="B31" s="29" t="str">
        <f>VLOOKUP("T6.r.28",Glossary,2,FALSE)</f>
        <v>davon Schweizer Kantone und Gemeinden</v>
      </c>
      <c r="C31" s="177">
        <f>[4]Differences_Stat_SSTBalance!$G$31</f>
        <v>0</v>
      </c>
      <c r="D31" s="178">
        <f>[5]Differences_Stat_SSTBalance!$F$30</f>
        <v>0</v>
      </c>
      <c r="E31" s="178">
        <f>'[4]SST Balance Sheet'!$F$31</f>
        <v>0</v>
      </c>
      <c r="F31" s="179">
        <f>'[5]SST Balance Sheet'!$E$30</f>
        <v>0</v>
      </c>
      <c r="H31" s="29" t="str">
        <f t="shared" si="0"/>
        <v>No</v>
      </c>
    </row>
    <row r="32" spans="1:9" ht="14.5">
      <c r="A32" s="39"/>
      <c r="B32" s="29" t="str">
        <f>VLOOKUP("T6.r.29",Glossary,2,FALSE)</f>
        <v>davon andere öffentliche Körperschaften</v>
      </c>
      <c r="C32" s="177">
        <f>[4]Differences_Stat_SSTBalance!$G$32</f>
        <v>0</v>
      </c>
      <c r="D32" s="178">
        <f>[5]Differences_Stat_SSTBalance!$F$31</f>
        <v>0</v>
      </c>
      <c r="E32" s="178">
        <f>'[4]SST Balance Sheet'!$F$32</f>
        <v>0</v>
      </c>
      <c r="F32" s="179">
        <f>'[5]SST Balance Sheet'!$E$31</f>
        <v>0</v>
      </c>
      <c r="H32" s="29" t="str">
        <f t="shared" si="0"/>
        <v>No</v>
      </c>
    </row>
    <row r="33" spans="1:8" ht="14.5">
      <c r="A33" s="39"/>
      <c r="B33" s="23" t="str">
        <f>VLOOKUP("T6.r.30",Glossary,2,FALSE)</f>
        <v>Unternehmensanleihen</v>
      </c>
      <c r="C33" s="177">
        <f>[4]Differences_Stat_SSTBalance!$G$33</f>
        <v>0</v>
      </c>
      <c r="D33" s="178">
        <f>[5]Differences_Stat_SSTBalance!$F$32</f>
        <v>0</v>
      </c>
      <c r="E33" s="178">
        <f>'[4]SST Balance Sheet'!$F$33</f>
        <v>0</v>
      </c>
      <c r="F33" s="179">
        <f>'[5]SST Balance Sheet'!$E$32</f>
        <v>0</v>
      </c>
      <c r="H33" s="29" t="str">
        <f t="shared" si="0"/>
        <v>No</v>
      </c>
    </row>
    <row r="34" spans="1:8" ht="14.5">
      <c r="A34" s="39"/>
      <c r="B34" s="29" t="str">
        <f>VLOOKUP("T6.r.31",Glossary,2,FALSE)</f>
        <v>davon Banken und Effektenhändler</v>
      </c>
      <c r="C34" s="177">
        <f>[4]Differences_Stat_SSTBalance!$G$34</f>
        <v>0</v>
      </c>
      <c r="D34" s="178">
        <f>[5]Differences_Stat_SSTBalance!$F$33</f>
        <v>0</v>
      </c>
      <c r="E34" s="178">
        <f>'[4]SST Balance Sheet'!$F$34</f>
        <v>0</v>
      </c>
      <c r="F34" s="179">
        <f>'[5]SST Balance Sheet'!$E$33</f>
        <v>0</v>
      </c>
      <c r="H34" s="29" t="str">
        <f t="shared" si="0"/>
        <v>No</v>
      </c>
    </row>
    <row r="35" spans="1:8" ht="14.5">
      <c r="A35" s="39"/>
      <c r="B35" s="23" t="str">
        <f>VLOOKUP("T6.r.32",Glossary,2,FALSE)</f>
        <v>Pfandbriefanleihen / Covered Bonds</v>
      </c>
      <c r="C35" s="177">
        <f>[4]Differences_Stat_SSTBalance!$G$35</f>
        <v>0</v>
      </c>
      <c r="D35" s="178">
        <f>[5]Differences_Stat_SSTBalance!$F$34</f>
        <v>0</v>
      </c>
      <c r="E35" s="178">
        <f>'[4]SST Balance Sheet'!$F$35</f>
        <v>0</v>
      </c>
      <c r="F35" s="179">
        <f>'[5]SST Balance Sheet'!$E$34</f>
        <v>0</v>
      </c>
      <c r="H35" s="29" t="str">
        <f t="shared" si="0"/>
        <v>No</v>
      </c>
    </row>
    <row r="36" spans="1:8" ht="14.5">
      <c r="A36" s="39"/>
      <c r="B36" s="23" t="str">
        <f>VLOOKUP("T6.r.33",Glossary,2,FALSE)</f>
        <v>Wandelanleihen</v>
      </c>
      <c r="C36" s="177">
        <f>[4]Differences_Stat_SSTBalance!$G$36</f>
        <v>0</v>
      </c>
      <c r="D36" s="178">
        <f>[5]Differences_Stat_SSTBalance!$F$35</f>
        <v>0</v>
      </c>
      <c r="E36" s="178">
        <f>'[4]SST Balance Sheet'!$F$36</f>
        <v>0</v>
      </c>
      <c r="F36" s="179">
        <f>'[5]SST Balance Sheet'!$E$35</f>
        <v>0</v>
      </c>
      <c r="H36" s="29" t="str">
        <f t="shared" si="0"/>
        <v>No</v>
      </c>
    </row>
    <row r="37" spans="1:8" ht="14.5">
      <c r="A37" s="39"/>
      <c r="B37" s="23" t="str">
        <f>VLOOKUP("T6.r.34",Glossary,2,FALSE)</f>
        <v>Sonstige Anleihen (inkl. Optionsanleihen, supranationale Anleihen)</v>
      </c>
      <c r="C37" s="177">
        <f>[4]Differences_Stat_SSTBalance!$G$37</f>
        <v>0</v>
      </c>
      <c r="D37" s="178">
        <f>[5]Differences_Stat_SSTBalance!$F$36</f>
        <v>0</v>
      </c>
      <c r="E37" s="178">
        <f>'[4]SST Balance Sheet'!$F$37</f>
        <v>0</v>
      </c>
      <c r="F37" s="179">
        <f>'[5]SST Balance Sheet'!$E$36</f>
        <v>0</v>
      </c>
      <c r="H37" s="29" t="str">
        <f t="shared" si="0"/>
        <v>No</v>
      </c>
    </row>
    <row r="38" spans="1:8" ht="14.5">
      <c r="A38" s="39"/>
      <c r="C38" s="177"/>
      <c r="D38" s="178"/>
      <c r="E38" s="178"/>
      <c r="F38" s="179"/>
      <c r="H38" s="29" t="s">
        <v>1141</v>
      </c>
    </row>
    <row r="39" spans="1:8" ht="14.5">
      <c r="A39" s="39"/>
      <c r="B39" s="44" t="str">
        <f>VLOOKUP("T6.r.35",Glossary,2,FALSE)</f>
        <v>1.1.4 Darlehen</v>
      </c>
      <c r="C39" s="175">
        <f>[4]Differences_Stat_SSTBalance!$G$39</f>
        <v>0</v>
      </c>
      <c r="D39" s="176">
        <f>[5]Differences_Stat_SSTBalance!$F$38</f>
        <v>0</v>
      </c>
      <c r="E39" s="176">
        <f>'[4]SST Balance Sheet'!$F$39</f>
        <v>0</v>
      </c>
      <c r="F39" s="176">
        <f>'[5]SST Balance Sheet'!$E$38</f>
        <v>0</v>
      </c>
      <c r="H39" s="29" t="str">
        <f t="shared" ref="H39:H69" si="1">IF(AND(C39=0,D39=0,E39=0,F39=0,ISNUMBER(C39)),"No","Yes")</f>
        <v>No</v>
      </c>
    </row>
    <row r="40" spans="1:8" ht="14.5">
      <c r="A40" s="39"/>
      <c r="B40" s="23" t="str">
        <f>VLOOKUP("T6.r.36",Glossary,2,FALSE)</f>
        <v>Nachrangige Darlehen</v>
      </c>
      <c r="C40" s="177">
        <f>[4]Differences_Stat_SSTBalance!$G$40</f>
        <v>0</v>
      </c>
      <c r="D40" s="178">
        <f>[5]Differences_Stat_SSTBalance!$F$39</f>
        <v>0</v>
      </c>
      <c r="E40" s="178">
        <f>'[4]SST Balance Sheet'!$F$40</f>
        <v>0</v>
      </c>
      <c r="F40" s="179">
        <f>'[5]SST Balance Sheet'!$E$39</f>
        <v>0</v>
      </c>
      <c r="H40" s="29" t="str">
        <f t="shared" si="1"/>
        <v>No</v>
      </c>
    </row>
    <row r="41" spans="1:8" ht="14.5">
      <c r="A41" s="39"/>
      <c r="B41" s="23" t="str">
        <f>VLOOKUP("T6.r.37",Glossary,2,FALSE)</f>
        <v>Policendarlehen</v>
      </c>
      <c r="C41" s="177">
        <f>[4]Differences_Stat_SSTBalance!$G$41</f>
        <v>0</v>
      </c>
      <c r="D41" s="178">
        <f>[5]Differences_Stat_SSTBalance!$F$40</f>
        <v>0</v>
      </c>
      <c r="E41" s="178">
        <f>'[4]SST Balance Sheet'!$F$41</f>
        <v>0</v>
      </c>
      <c r="F41" s="179">
        <f>'[5]SST Balance Sheet'!$E$40</f>
        <v>0</v>
      </c>
      <c r="H41" s="29" t="str">
        <f t="shared" si="1"/>
        <v>No</v>
      </c>
    </row>
    <row r="42" spans="1:8" ht="14.5">
      <c r="A42" s="39"/>
      <c r="B42" s="23" t="str">
        <f>VLOOKUP("T6.r.38",Glossary,2,FALSE)</f>
        <v>Sonstige Darlehen</v>
      </c>
      <c r="C42" s="177">
        <f>[4]Differences_Stat_SSTBalance!$G$42</f>
        <v>0</v>
      </c>
      <c r="D42" s="178">
        <f>[5]Differences_Stat_SSTBalance!$F$41</f>
        <v>0</v>
      </c>
      <c r="E42" s="178">
        <f>'[4]SST Balance Sheet'!$F$42</f>
        <v>0</v>
      </c>
      <c r="F42" s="179">
        <f>'[5]SST Balance Sheet'!$E$41</f>
        <v>0</v>
      </c>
      <c r="H42" s="29" t="str">
        <f t="shared" si="1"/>
        <v>No</v>
      </c>
    </row>
    <row r="43" spans="1:8" ht="14.5">
      <c r="A43" s="39"/>
      <c r="C43" s="177"/>
      <c r="D43" s="178"/>
      <c r="E43" s="178"/>
      <c r="F43" s="179"/>
      <c r="H43" s="29" t="s">
        <v>1141</v>
      </c>
    </row>
    <row r="44" spans="1:8" ht="14.5">
      <c r="A44" s="39"/>
      <c r="B44" s="44" t="str">
        <f>VLOOKUP("T6.r.39",Glossary,2,FALSE)</f>
        <v>1.1.5 Hypotheken</v>
      </c>
      <c r="C44" s="175">
        <f>[4]Differences_Stat_SSTBalance!$G$44</f>
        <v>0</v>
      </c>
      <c r="D44" s="176">
        <f>[5]Differences_Stat_SSTBalance!$F$43</f>
        <v>0</v>
      </c>
      <c r="E44" s="176">
        <f>'[4]SST Balance Sheet'!$F$44</f>
        <v>0</v>
      </c>
      <c r="F44" s="176">
        <f>'[5]SST Balance Sheet'!$E$43</f>
        <v>0</v>
      </c>
      <c r="H44" s="29" t="str">
        <f t="shared" si="1"/>
        <v>No</v>
      </c>
    </row>
    <row r="45" spans="1:8" ht="14.5">
      <c r="A45" s="39"/>
      <c r="B45" s="23" t="str">
        <f>VLOOKUP("T6.r.40",Glossary,2,FALSE)</f>
        <v>Hypotheken bis 80 % des Verkehrswertes</v>
      </c>
      <c r="C45" s="177">
        <f>[4]Differences_Stat_SSTBalance!$G$45</f>
        <v>0</v>
      </c>
      <c r="D45" s="178">
        <f>[5]Differences_Stat_SSTBalance!$F$44</f>
        <v>0</v>
      </c>
      <c r="E45" s="178">
        <f>'[4]SST Balance Sheet'!$F$45</f>
        <v>0</v>
      </c>
      <c r="F45" s="179">
        <f>'[5]SST Balance Sheet'!$E$44</f>
        <v>0</v>
      </c>
      <c r="H45" s="29" t="str">
        <f t="shared" si="1"/>
        <v>No</v>
      </c>
    </row>
    <row r="46" spans="1:8" ht="14.5">
      <c r="A46" s="39"/>
      <c r="B46" s="29" t="str">
        <f>VLOOKUP("T6.r.41",Glossary,2,FALSE)</f>
        <v>mit festen Zinssätzen</v>
      </c>
      <c r="C46" s="177">
        <f>[4]Differences_Stat_SSTBalance!$G$46</f>
        <v>0</v>
      </c>
      <c r="D46" s="178">
        <f>[5]Differences_Stat_SSTBalance!$F$45</f>
        <v>0</v>
      </c>
      <c r="E46" s="178">
        <f>'[4]SST Balance Sheet'!$F$46</f>
        <v>0</v>
      </c>
      <c r="F46" s="179">
        <f>'[5]SST Balance Sheet'!$E$45</f>
        <v>0</v>
      </c>
      <c r="H46" s="29" t="str">
        <f t="shared" si="1"/>
        <v>No</v>
      </c>
    </row>
    <row r="47" spans="1:8" ht="14.5">
      <c r="A47" s="39"/>
      <c r="B47" s="29" t="str">
        <f>VLOOKUP("T6.r.42",Glossary,2,FALSE)</f>
        <v>mit variablen Zinssätzen</v>
      </c>
      <c r="C47" s="177">
        <f>[4]Differences_Stat_SSTBalance!$G$47</f>
        <v>0</v>
      </c>
      <c r="D47" s="178">
        <f>[5]Differences_Stat_SSTBalance!$F$46</f>
        <v>0</v>
      </c>
      <c r="E47" s="178">
        <f>'[4]SST Balance Sheet'!$F$47</f>
        <v>0</v>
      </c>
      <c r="F47" s="179">
        <f>'[5]SST Balance Sheet'!$E$46</f>
        <v>0</v>
      </c>
      <c r="H47" s="29" t="str">
        <f t="shared" si="1"/>
        <v>No</v>
      </c>
    </row>
    <row r="48" spans="1:8" ht="14.5">
      <c r="A48" s="39"/>
      <c r="B48" s="23" t="str">
        <f>VLOOKUP("T6.r.43",Glossary,2,FALSE)</f>
        <v>Hypotheken mehr als 80 % des Verkehrswertes</v>
      </c>
      <c r="C48" s="177">
        <f>[4]Differences_Stat_SSTBalance!$G$48</f>
        <v>0</v>
      </c>
      <c r="D48" s="178">
        <f>[5]Differences_Stat_SSTBalance!$F$47</f>
        <v>0</v>
      </c>
      <c r="E48" s="178">
        <f>'[4]SST Balance Sheet'!$F$48</f>
        <v>0</v>
      </c>
      <c r="F48" s="179">
        <f>'[5]SST Balance Sheet'!$E$47</f>
        <v>0</v>
      </c>
      <c r="H48" s="29" t="str">
        <f t="shared" si="1"/>
        <v>No</v>
      </c>
    </row>
    <row r="49" spans="1:8" ht="14.5">
      <c r="A49" s="39"/>
      <c r="B49" s="29" t="str">
        <f>VLOOKUP("T6.r.44",Glossary,2,FALSE)</f>
        <v>mit festen Zinssätzen</v>
      </c>
      <c r="C49" s="177">
        <f>[4]Differences_Stat_SSTBalance!$G$49</f>
        <v>0</v>
      </c>
      <c r="D49" s="178">
        <f>[5]Differences_Stat_SSTBalance!$F$48</f>
        <v>0</v>
      </c>
      <c r="E49" s="178">
        <f>'[4]SST Balance Sheet'!$F$49</f>
        <v>0</v>
      </c>
      <c r="F49" s="179">
        <f>'[5]SST Balance Sheet'!$E$48</f>
        <v>0</v>
      </c>
      <c r="H49" s="29" t="str">
        <f t="shared" si="1"/>
        <v>No</v>
      </c>
    </row>
    <row r="50" spans="1:8" ht="14.5">
      <c r="A50" s="39"/>
      <c r="B50" s="29" t="str">
        <f>VLOOKUP("T6.r.45",Glossary,2,FALSE)</f>
        <v>mit variablen Zinssätzen</v>
      </c>
      <c r="C50" s="177">
        <f>[4]Differences_Stat_SSTBalance!$G$50</f>
        <v>0</v>
      </c>
      <c r="D50" s="178">
        <f>[5]Differences_Stat_SSTBalance!$F$49</f>
        <v>0</v>
      </c>
      <c r="E50" s="178">
        <f>'[4]SST Balance Sheet'!$F$50</f>
        <v>0</v>
      </c>
      <c r="F50" s="179">
        <f>'[5]SST Balance Sheet'!$E$49</f>
        <v>0</v>
      </c>
      <c r="H50" s="29" t="str">
        <f t="shared" si="1"/>
        <v>No</v>
      </c>
    </row>
    <row r="51" spans="1:8" ht="14.5">
      <c r="A51" s="39"/>
      <c r="C51" s="177"/>
      <c r="D51" s="178"/>
      <c r="E51" s="178"/>
      <c r="F51" s="179"/>
      <c r="H51" s="29" t="s">
        <v>1141</v>
      </c>
    </row>
    <row r="52" spans="1:8" ht="14.5">
      <c r="A52" s="39"/>
      <c r="B52" s="44" t="str">
        <f>VLOOKUP("T6.r.46",Glossary,2,FALSE)</f>
        <v>1.1.6 Aktien</v>
      </c>
      <c r="C52" s="175">
        <f>[4]Differences_Stat_SSTBalance!$G$52</f>
        <v>0</v>
      </c>
      <c r="D52" s="176">
        <f>[5]Differences_Stat_SSTBalance!$F$51</f>
        <v>0</v>
      </c>
      <c r="E52" s="176">
        <f>'[4]SST Balance Sheet'!$F$52</f>
        <v>0</v>
      </c>
      <c r="F52" s="176">
        <f>'[5]SST Balance Sheet'!$E$51</f>
        <v>0</v>
      </c>
      <c r="H52" s="29" t="str">
        <f t="shared" si="1"/>
        <v>No</v>
      </c>
    </row>
    <row r="53" spans="1:8" ht="14.5">
      <c r="A53" s="39"/>
      <c r="B53" s="23" t="str">
        <f>VLOOKUP("T6.r.47",Glossary,2,FALSE)</f>
        <v>Aktien und ähnliche Wertschriften</v>
      </c>
      <c r="C53" s="177">
        <f>[4]Differences_Stat_SSTBalance!$G$53</f>
        <v>0</v>
      </c>
      <c r="D53" s="178">
        <f>[5]Differences_Stat_SSTBalance!$F$52</f>
        <v>0</v>
      </c>
      <c r="E53" s="178">
        <f>'[4]SST Balance Sheet'!$F$53</f>
        <v>0</v>
      </c>
      <c r="F53" s="179">
        <f>'[5]SST Balance Sheet'!$E$52</f>
        <v>0</v>
      </c>
      <c r="H53" s="29" t="str">
        <f t="shared" si="1"/>
        <v>No</v>
      </c>
    </row>
    <row r="54" spans="1:8" ht="14.5">
      <c r="A54" s="39"/>
      <c r="B54" s="23" t="str">
        <f>VLOOKUP("T6.r.48",Glossary,2,FALSE)</f>
        <v>Aktien von Gruppengesellschaften</v>
      </c>
      <c r="C54" s="177">
        <f>[4]Differences_Stat_SSTBalance!$G$54</f>
        <v>0</v>
      </c>
      <c r="D54" s="178">
        <f>[5]Differences_Stat_SSTBalance!$F$53</f>
        <v>0</v>
      </c>
      <c r="E54" s="178">
        <f>'[4]SST Balance Sheet'!$F$54</f>
        <v>0</v>
      </c>
      <c r="F54" s="179">
        <f>'[5]SST Balance Sheet'!$E$53</f>
        <v>0</v>
      </c>
      <c r="H54" s="29" t="str">
        <f t="shared" si="1"/>
        <v>No</v>
      </c>
    </row>
    <row r="55" spans="1:8" ht="14.5">
      <c r="A55" s="39"/>
      <c r="B55" s="23" t="str">
        <f>VLOOKUP("T6.r.49",Glossary,2,FALSE)</f>
        <v>Anlagen an Immobiliengesellschaften</v>
      </c>
      <c r="C55" s="177">
        <f>[4]Differences_Stat_SSTBalance!$G$55</f>
        <v>0</v>
      </c>
      <c r="D55" s="178">
        <f>[5]Differences_Stat_SSTBalance!$F$54</f>
        <v>0</v>
      </c>
      <c r="E55" s="178">
        <f>'[4]SST Balance Sheet'!$F$55</f>
        <v>0</v>
      </c>
      <c r="F55" s="179">
        <f>'[5]SST Balance Sheet'!$E$54</f>
        <v>0</v>
      </c>
      <c r="H55" s="29" t="str">
        <f t="shared" si="1"/>
        <v>No</v>
      </c>
    </row>
    <row r="56" spans="1:8" ht="14.5">
      <c r="A56" s="39"/>
      <c r="C56" s="177"/>
      <c r="D56" s="178"/>
      <c r="E56" s="178"/>
      <c r="F56" s="179"/>
      <c r="H56" s="29" t="s">
        <v>1141</v>
      </c>
    </row>
    <row r="57" spans="1:8" ht="14.5">
      <c r="A57" s="39"/>
      <c r="B57" s="44" t="str">
        <f>VLOOKUP("T6.r.50",Glossary,2,FALSE)</f>
        <v>1.1.7 Übrige Kapitalanlagen</v>
      </c>
      <c r="C57" s="175">
        <f>[4]Differences_Stat_SSTBalance!$G$57</f>
        <v>0</v>
      </c>
      <c r="D57" s="176">
        <f>[5]Differences_Stat_SSTBalance!$F$56</f>
        <v>0</v>
      </c>
      <c r="E57" s="176">
        <f>'[4]SST Balance Sheet'!$F$57</f>
        <v>0</v>
      </c>
      <c r="F57" s="176">
        <f>'[5]SST Balance Sheet'!$E$56</f>
        <v>0</v>
      </c>
      <c r="H57" s="29" t="str">
        <f t="shared" si="1"/>
        <v>No</v>
      </c>
    </row>
    <row r="58" spans="1:8" ht="14.5">
      <c r="A58" s="39"/>
      <c r="B58" s="160" t="str">
        <f>VLOOKUP("T6.r.51",Glossary,2,FALSE)</f>
        <v>Kollektive Kapitalanlagen</v>
      </c>
      <c r="C58" s="177">
        <f>[4]Differences_Stat_SSTBalance!$G$58</f>
        <v>0</v>
      </c>
      <c r="D58" s="178">
        <f>[5]Differences_Stat_SSTBalance!$F$57</f>
        <v>0</v>
      </c>
      <c r="E58" s="178">
        <f>'[4]SST Balance Sheet'!$F$58</f>
        <v>0</v>
      </c>
      <c r="F58" s="179">
        <f>'[5]SST Balance Sheet'!$E$57</f>
        <v>0</v>
      </c>
      <c r="H58" s="29" t="str">
        <f t="shared" si="1"/>
        <v>No</v>
      </c>
    </row>
    <row r="59" spans="1:8" ht="14.5">
      <c r="A59" s="39"/>
      <c r="B59" s="23" t="str">
        <f>VLOOKUP("T6.r.52",Glossary,2,FALSE)</f>
        <v>Anlagefonds: Immobilien</v>
      </c>
      <c r="C59" s="177">
        <f>[4]Differences_Stat_SSTBalance!$G$59</f>
        <v>0</v>
      </c>
      <c r="D59" s="178">
        <f>[5]Differences_Stat_SSTBalance!$F$58</f>
        <v>0</v>
      </c>
      <c r="E59" s="178">
        <f>'[4]SST Balance Sheet'!$F$59</f>
        <v>0</v>
      </c>
      <c r="F59" s="179">
        <f>'[5]SST Balance Sheet'!$E$58</f>
        <v>0</v>
      </c>
      <c r="H59" s="29" t="str">
        <f t="shared" si="1"/>
        <v>No</v>
      </c>
    </row>
    <row r="60" spans="1:8" ht="14.5">
      <c r="A60" s="39"/>
      <c r="B60" s="23" t="str">
        <f>VLOOKUP("T6.r.53",Glossary,2,FALSE)</f>
        <v>Anlagefonds: Aktien</v>
      </c>
      <c r="C60" s="177">
        <f>[4]Differences_Stat_SSTBalance!$G$60</f>
        <v>0</v>
      </c>
      <c r="D60" s="178">
        <f>[5]Differences_Stat_SSTBalance!$F$59</f>
        <v>0</v>
      </c>
      <c r="E60" s="178">
        <f>'[4]SST Balance Sheet'!$F$60</f>
        <v>0</v>
      </c>
      <c r="F60" s="179">
        <f>'[5]SST Balance Sheet'!$E$59</f>
        <v>0</v>
      </c>
      <c r="H60" s="29" t="str">
        <f t="shared" si="1"/>
        <v>No</v>
      </c>
    </row>
    <row r="61" spans="1:8" ht="14.5">
      <c r="A61" s="39"/>
      <c r="B61" s="23" t="str">
        <f>VLOOKUP("T6.r.54",Glossary,2,FALSE)</f>
        <v>Anlagefonds: festverzinsliche Wertpapiere</v>
      </c>
      <c r="C61" s="177">
        <f>[4]Differences_Stat_SSTBalance!$G$61</f>
        <v>0</v>
      </c>
      <c r="D61" s="178">
        <f>[5]Differences_Stat_SSTBalance!$F$60</f>
        <v>0</v>
      </c>
      <c r="E61" s="178">
        <f>'[4]SST Balance Sheet'!$F$61</f>
        <v>0</v>
      </c>
      <c r="F61" s="179">
        <f>'[5]SST Balance Sheet'!$E$60</f>
        <v>0</v>
      </c>
      <c r="H61" s="29" t="str">
        <f t="shared" si="1"/>
        <v>No</v>
      </c>
    </row>
    <row r="62" spans="1:8" ht="14.5">
      <c r="A62" s="39"/>
      <c r="B62" s="23" t="str">
        <f>VLOOKUP("T6.r.55",Glossary,2,FALSE)</f>
        <v>Anlagefonds: Geldmarkt</v>
      </c>
      <c r="C62" s="177">
        <f>[4]Differences_Stat_SSTBalance!$G$62</f>
        <v>0</v>
      </c>
      <c r="D62" s="178">
        <f>[5]Differences_Stat_SSTBalance!$F$61</f>
        <v>0</v>
      </c>
      <c r="E62" s="178">
        <f>'[4]SST Balance Sheet'!$F$62</f>
        <v>0</v>
      </c>
      <c r="F62" s="179">
        <f>'[5]SST Balance Sheet'!$E$61</f>
        <v>0</v>
      </c>
      <c r="H62" s="29" t="str">
        <f t="shared" si="1"/>
        <v>No</v>
      </c>
    </row>
    <row r="63" spans="1:8" ht="14.5">
      <c r="A63" s="39"/>
      <c r="B63" s="23" t="str">
        <f>VLOOKUP("T6.r.56",Glossary,2,FALSE)</f>
        <v>Anlagefonds: Übrige</v>
      </c>
      <c r="C63" s="177">
        <f>[4]Differences_Stat_SSTBalance!$G$63</f>
        <v>0</v>
      </c>
      <c r="D63" s="178">
        <f>[5]Differences_Stat_SSTBalance!$F$62</f>
        <v>0</v>
      </c>
      <c r="E63" s="178">
        <f>'[4]SST Balance Sheet'!$F$63</f>
        <v>0</v>
      </c>
      <c r="F63" s="179">
        <f>'[5]SST Balance Sheet'!$E$62</f>
        <v>0</v>
      </c>
      <c r="H63" s="29" t="str">
        <f t="shared" si="1"/>
        <v>No</v>
      </c>
    </row>
    <row r="64" spans="1:8" ht="14.5">
      <c r="A64" s="39"/>
      <c r="B64" s="23" t="str">
        <f>VLOOKUP("T6.r.57",Glossary,2,FALSE)</f>
        <v>Anlagefonds: Gemischt</v>
      </c>
      <c r="C64" s="177">
        <f>[4]Differences_Stat_SSTBalance!$G$64</f>
        <v>0</v>
      </c>
      <c r="D64" s="178">
        <f>[5]Differences_Stat_SSTBalance!$F$63</f>
        <v>0</v>
      </c>
      <c r="E64" s="178">
        <f>'[4]SST Balance Sheet'!$F$64</f>
        <v>0</v>
      </c>
      <c r="F64" s="179">
        <f>'[5]SST Balance Sheet'!$E$63</f>
        <v>0</v>
      </c>
      <c r="H64" s="29" t="str">
        <f t="shared" si="1"/>
        <v>No</v>
      </c>
    </row>
    <row r="65" spans="1:8" ht="14.5">
      <c r="A65" s="39"/>
      <c r="C65" s="177"/>
      <c r="D65" s="178"/>
      <c r="E65" s="178"/>
      <c r="F65" s="179"/>
      <c r="H65" s="29" t="s">
        <v>1141</v>
      </c>
    </row>
    <row r="66" spans="1:8" ht="14.5">
      <c r="A66" s="39"/>
      <c r="B66" s="160" t="str">
        <f>VLOOKUP("T6.r.58",Glossary,2,FALSE)</f>
        <v>Alternative Kapitalanlagen</v>
      </c>
      <c r="C66" s="177">
        <f>[4]Differences_Stat_SSTBalance!$G$66</f>
        <v>0</v>
      </c>
      <c r="D66" s="178">
        <f>[5]Differences_Stat_SSTBalance!$F$65</f>
        <v>0</v>
      </c>
      <c r="E66" s="178">
        <f>'[4]SST Balance Sheet'!$F$66</f>
        <v>0</v>
      </c>
      <c r="F66" s="179">
        <f>'[5]SST Balance Sheet'!$E$65</f>
        <v>0</v>
      </c>
      <c r="H66" s="29" t="str">
        <f t="shared" si="1"/>
        <v>No</v>
      </c>
    </row>
    <row r="67" spans="1:8" ht="14.5">
      <c r="A67" s="39"/>
      <c r="B67" s="23" t="str">
        <f>VLOOKUP("T6.r.59",Glossary,2,FALSE)</f>
        <v>Hedgefonds</v>
      </c>
      <c r="C67" s="177">
        <f>[4]Differences_Stat_SSTBalance!$G$67</f>
        <v>0</v>
      </c>
      <c r="D67" s="178">
        <f>[5]Differences_Stat_SSTBalance!$F$66</f>
        <v>0</v>
      </c>
      <c r="E67" s="178">
        <f>'[4]SST Balance Sheet'!$F$67</f>
        <v>0</v>
      </c>
      <c r="F67" s="179">
        <f>'[5]SST Balance Sheet'!$E$66</f>
        <v>0</v>
      </c>
      <c r="H67" s="29" t="str">
        <f t="shared" si="1"/>
        <v>No</v>
      </c>
    </row>
    <row r="68" spans="1:8" ht="14.5">
      <c r="A68" s="39"/>
      <c r="B68" s="23" t="str">
        <f>VLOOKUP("T6.r.60",Glossary,2,FALSE)</f>
        <v>Private Equity</v>
      </c>
      <c r="C68" s="177">
        <f>[4]Differences_Stat_SSTBalance!$G$68</f>
        <v>0</v>
      </c>
      <c r="D68" s="178">
        <f>[5]Differences_Stat_SSTBalance!$F$67</f>
        <v>0</v>
      </c>
      <c r="E68" s="178">
        <f>'[4]SST Balance Sheet'!$F$68</f>
        <v>0</v>
      </c>
      <c r="F68" s="179">
        <f>'[5]SST Balance Sheet'!$E$67</f>
        <v>0</v>
      </c>
      <c r="H68" s="29" t="str">
        <f t="shared" si="1"/>
        <v>No</v>
      </c>
    </row>
    <row r="69" spans="1:8" ht="14.5">
      <c r="A69" s="39"/>
      <c r="B69" s="29" t="str">
        <f>VLOOKUP("T6.r.61",Glossary,2,FALSE)</f>
        <v>davon Partizipationen (Anteil &lt; 20%)</v>
      </c>
      <c r="C69" s="177">
        <f>[4]Differences_Stat_SSTBalance!$G$69</f>
        <v>0</v>
      </c>
      <c r="D69" s="178">
        <f>[5]Differences_Stat_SSTBalance!$F$68</f>
        <v>0</v>
      </c>
      <c r="E69" s="178">
        <f>'[4]SST Balance Sheet'!$F$69</f>
        <v>0</v>
      </c>
      <c r="F69" s="179">
        <f>'[5]SST Balance Sheet'!$E$68</f>
        <v>0</v>
      </c>
      <c r="H69" s="29" t="str">
        <f t="shared" si="1"/>
        <v>No</v>
      </c>
    </row>
    <row r="70" spans="1:8" ht="14.5">
      <c r="A70" s="39"/>
      <c r="C70" s="177"/>
      <c r="D70" s="178"/>
      <c r="E70" s="178"/>
      <c r="F70" s="179"/>
      <c r="H70" s="29" t="s">
        <v>1141</v>
      </c>
    </row>
    <row r="71" spans="1:8" ht="14.5">
      <c r="A71" s="39"/>
      <c r="B71" s="23" t="str">
        <f>VLOOKUP("T6.r.62",Glossary,2,FALSE)</f>
        <v>Andere Alternative Kapitalanlagen</v>
      </c>
      <c r="C71" s="177">
        <f>[4]Differences_Stat_SSTBalance!$G$71</f>
        <v>0</v>
      </c>
      <c r="D71" s="178">
        <f>[5]Differences_Stat_SSTBalance!$F$70</f>
        <v>0</v>
      </c>
      <c r="E71" s="178">
        <f>'[4]SST Balance Sheet'!$F$71</f>
        <v>0</v>
      </c>
      <c r="F71" s="179">
        <f>'[5]SST Balance Sheet'!$E$70</f>
        <v>0</v>
      </c>
      <c r="H71" s="29" t="str">
        <f t="shared" ref="H71:H86" si="2">IF(AND(C71=0,D71=0,E71=0,F71=0,ISNUMBER(C71)),"No","Yes")</f>
        <v>No</v>
      </c>
    </row>
    <row r="72" spans="1:8" ht="14.5">
      <c r="A72" s="39"/>
      <c r="B72" s="29" t="str">
        <f>VLOOKUP("T6.r.63",Glossary,2,FALSE)</f>
        <v>Private Debt</v>
      </c>
      <c r="C72" s="177">
        <f>[4]Differences_Stat_SSTBalance!$G$72</f>
        <v>0</v>
      </c>
      <c r="D72" s="178">
        <f>[5]Differences_Stat_SSTBalance!$F$71</f>
        <v>0</v>
      </c>
      <c r="E72" s="178">
        <f>'[4]SST Balance Sheet'!$F$72</f>
        <v>0</v>
      </c>
      <c r="F72" s="179">
        <f>'[5]SST Balance Sheet'!$E$71</f>
        <v>0</v>
      </c>
      <c r="H72" s="29" t="str">
        <f t="shared" si="2"/>
        <v>No</v>
      </c>
    </row>
    <row r="73" spans="1:8" ht="14.5">
      <c r="A73" s="39"/>
      <c r="B73" s="29" t="str">
        <f>VLOOKUP("T6.r.64",Glossary,2,FALSE)</f>
        <v>Senior Secured Loans</v>
      </c>
      <c r="C73" s="177">
        <f>[4]Differences_Stat_SSTBalance!$G$73</f>
        <v>0</v>
      </c>
      <c r="D73" s="178">
        <f>[5]Differences_Stat_SSTBalance!$F$72</f>
        <v>0</v>
      </c>
      <c r="E73" s="178">
        <f>'[4]SST Balance Sheet'!$F$73</f>
        <v>0</v>
      </c>
      <c r="F73" s="179">
        <f>'[5]SST Balance Sheet'!$E$72</f>
        <v>0</v>
      </c>
      <c r="H73" s="29" t="str">
        <f t="shared" si="2"/>
        <v>No</v>
      </c>
    </row>
    <row r="74" spans="1:8" ht="14.5">
      <c r="A74" s="39"/>
      <c r="B74" s="29" t="str">
        <f>VLOOKUP("T6.r.65",Glossary,2,FALSE)</f>
        <v>Rohstoffe</v>
      </c>
      <c r="C74" s="177">
        <f>[4]Differences_Stat_SSTBalance!$G$74</f>
        <v>0</v>
      </c>
      <c r="D74" s="178">
        <f>[5]Differences_Stat_SSTBalance!$F$73</f>
        <v>0</v>
      </c>
      <c r="E74" s="178">
        <f>'[4]SST Balance Sheet'!$F$74</f>
        <v>0</v>
      </c>
      <c r="F74" s="179">
        <f>'[5]SST Balance Sheet'!$E$73</f>
        <v>0</v>
      </c>
      <c r="H74" s="29" t="str">
        <f t="shared" si="2"/>
        <v>No</v>
      </c>
    </row>
    <row r="75" spans="1:8" ht="14.5">
      <c r="A75" s="39"/>
      <c r="C75" s="177"/>
      <c r="D75" s="178"/>
      <c r="E75" s="178"/>
      <c r="F75" s="179"/>
      <c r="H75" s="29" t="s">
        <v>1141</v>
      </c>
    </row>
    <row r="76" spans="1:8" ht="14.5">
      <c r="A76" s="39"/>
      <c r="B76" s="160" t="str">
        <f>VLOOKUP("T6.r.66",Glossary,2,FALSE)</f>
        <v>Strukturierte Produkte</v>
      </c>
      <c r="C76" s="177">
        <f>[4]Differences_Stat_SSTBalance!$G$76</f>
        <v>0</v>
      </c>
      <c r="D76" s="178">
        <f>[5]Differences_Stat_SSTBalance!$F$75</f>
        <v>0</v>
      </c>
      <c r="E76" s="178">
        <f>'[4]SST Balance Sheet'!$F$76</f>
        <v>0</v>
      </c>
      <c r="F76" s="179">
        <f>'[5]SST Balance Sheet'!$E$75</f>
        <v>0</v>
      </c>
      <c r="H76" s="29" t="str">
        <f t="shared" si="2"/>
        <v>No</v>
      </c>
    </row>
    <row r="77" spans="1:8" ht="14.5">
      <c r="A77" s="39"/>
      <c r="B77" s="23" t="str">
        <f>VLOOKUP("T6.r.67",Glossary,2,FALSE)</f>
        <v>Insurance-Linked Securities (z.B. Cat Bonds)</v>
      </c>
      <c r="C77" s="177">
        <f>[4]Differences_Stat_SSTBalance!$G$77</f>
        <v>0</v>
      </c>
      <c r="D77" s="178">
        <f>[5]Differences_Stat_SSTBalance!$F$76</f>
        <v>0</v>
      </c>
      <c r="E77" s="178">
        <f>'[4]SST Balance Sheet'!$F$77</f>
        <v>0</v>
      </c>
      <c r="F77" s="179">
        <f>'[5]SST Balance Sheet'!$E$76</f>
        <v>0</v>
      </c>
      <c r="H77" s="29" t="str">
        <f t="shared" si="2"/>
        <v>No</v>
      </c>
    </row>
    <row r="78" spans="1:8" ht="14.5">
      <c r="A78" s="39"/>
      <c r="B78" s="23" t="str">
        <f>VLOOKUP("T6.r.68",Glossary,2,FALSE)</f>
        <v>Andere strukturierte Produkte</v>
      </c>
      <c r="C78" s="177">
        <f>[4]Differences_Stat_SSTBalance!$G$78</f>
        <v>0</v>
      </c>
      <c r="D78" s="178">
        <f>[5]Differences_Stat_SSTBalance!$F$77</f>
        <v>0</v>
      </c>
      <c r="E78" s="178">
        <f>'[4]SST Balance Sheet'!$F$78</f>
        <v>0</v>
      </c>
      <c r="F78" s="179">
        <f>'[5]SST Balance Sheet'!$E$77</f>
        <v>0</v>
      </c>
      <c r="H78" s="29" t="str">
        <f t="shared" si="2"/>
        <v>No</v>
      </c>
    </row>
    <row r="79" spans="1:8" ht="14.5">
      <c r="A79" s="39"/>
      <c r="C79" s="177"/>
      <c r="D79" s="178"/>
      <c r="E79" s="178"/>
      <c r="F79" s="179"/>
      <c r="H79" s="29" t="s">
        <v>1141</v>
      </c>
    </row>
    <row r="80" spans="1:8" ht="14.5">
      <c r="A80" s="39"/>
      <c r="B80" s="160" t="str">
        <f>VLOOKUP("T6.r.69",Glossary,2,FALSE)</f>
        <v>Sonstige Kapitalanlagen</v>
      </c>
      <c r="C80" s="177">
        <f>[4]Differences_Stat_SSTBalance!$G$80</f>
        <v>0</v>
      </c>
      <c r="D80" s="178">
        <f>[5]Differences_Stat_SSTBalance!$F$79</f>
        <v>0</v>
      </c>
      <c r="E80" s="178">
        <f>'[4]SST Balance Sheet'!$F$80</f>
        <v>0</v>
      </c>
      <c r="F80" s="179">
        <f>'[5]SST Balance Sheet'!$E$79</f>
        <v>0</v>
      </c>
      <c r="H80" s="29" t="str">
        <f t="shared" si="2"/>
        <v>No</v>
      </c>
    </row>
    <row r="81" spans="1:8" ht="14.5">
      <c r="A81" s="39"/>
      <c r="B81" s="23" t="str">
        <f>VLOOKUP("T6.r.70",Glossary,2,FALSE)</f>
        <v>Verbriefte Forderungen</v>
      </c>
      <c r="C81" s="177">
        <f>[4]Differences_Stat_SSTBalance!$G$81</f>
        <v>0</v>
      </c>
      <c r="D81" s="178">
        <f>[5]Differences_Stat_SSTBalance!$F$80</f>
        <v>0</v>
      </c>
      <c r="E81" s="178">
        <f>'[4]SST Balance Sheet'!$F$81</f>
        <v>0</v>
      </c>
      <c r="F81" s="179">
        <f>'[5]SST Balance Sheet'!$E$80</f>
        <v>0</v>
      </c>
      <c r="H81" s="29" t="str">
        <f t="shared" si="2"/>
        <v>No</v>
      </c>
    </row>
    <row r="82" spans="1:8" ht="14.5">
      <c r="A82" s="39"/>
      <c r="B82" s="29" t="str">
        <f>VLOOKUP("T6.r.71",Glossary,2,FALSE)</f>
        <v>Asset Backed Securities (ABS)</v>
      </c>
      <c r="C82" s="177">
        <f>[4]Differences_Stat_SSTBalance!$G$82</f>
        <v>0</v>
      </c>
      <c r="D82" s="178">
        <f>[5]Differences_Stat_SSTBalance!$F$81</f>
        <v>0</v>
      </c>
      <c r="E82" s="178">
        <f>'[4]SST Balance Sheet'!$F$82</f>
        <v>0</v>
      </c>
      <c r="F82" s="179">
        <f>'[5]SST Balance Sheet'!$E$81</f>
        <v>0</v>
      </c>
      <c r="H82" s="29" t="str">
        <f t="shared" si="2"/>
        <v>No</v>
      </c>
    </row>
    <row r="83" spans="1:8" ht="14.5">
      <c r="A83" s="39"/>
      <c r="B83" s="29" t="str">
        <f>VLOOKUP("T6.r.72",Glossary,2,FALSE)</f>
        <v>Mortgage Backed Securities (MBS)</v>
      </c>
      <c r="C83" s="177">
        <f>[4]Differences_Stat_SSTBalance!$G$83</f>
        <v>0</v>
      </c>
      <c r="D83" s="178">
        <f>[5]Differences_Stat_SSTBalance!$F$82</f>
        <v>0</v>
      </c>
      <c r="E83" s="178">
        <f>'[4]SST Balance Sheet'!$F$83</f>
        <v>0</v>
      </c>
      <c r="F83" s="179">
        <f>'[5]SST Balance Sheet'!$E$82</f>
        <v>0</v>
      </c>
      <c r="H83" s="29" t="str">
        <f t="shared" si="2"/>
        <v>No</v>
      </c>
    </row>
    <row r="84" spans="1:8" ht="14.5">
      <c r="A84" s="39"/>
      <c r="B84" s="29" t="str">
        <f>VLOOKUP("T6.r.73",Glossary,2,FALSE)</f>
        <v>Collateralized Debt Obligations (CDO) und Collateralized Loan Obligations (CLO)</v>
      </c>
      <c r="C84" s="177">
        <f>[4]Differences_Stat_SSTBalance!$G$84</f>
        <v>0</v>
      </c>
      <c r="D84" s="178">
        <f>[5]Differences_Stat_SSTBalance!$F$83</f>
        <v>0</v>
      </c>
      <c r="E84" s="178">
        <f>'[4]SST Balance Sheet'!$F$84</f>
        <v>0</v>
      </c>
      <c r="F84" s="179">
        <f>'[5]SST Balance Sheet'!$E$83</f>
        <v>0</v>
      </c>
      <c r="H84" s="29" t="str">
        <f t="shared" si="2"/>
        <v>No</v>
      </c>
    </row>
    <row r="85" spans="1:8" ht="14.5">
      <c r="A85" s="39"/>
      <c r="B85" s="29" t="str">
        <f>VLOOKUP("T6.r.74",Glossary,2,FALSE)</f>
        <v>Sonstige verbriefte Forderungen</v>
      </c>
      <c r="C85" s="177">
        <f>[4]Differences_Stat_SSTBalance!$G$85</f>
        <v>0</v>
      </c>
      <c r="D85" s="178">
        <f>[5]Differences_Stat_SSTBalance!$F$84</f>
        <v>0</v>
      </c>
      <c r="E85" s="178">
        <f>'[4]SST Balance Sheet'!$F$85</f>
        <v>0</v>
      </c>
      <c r="F85" s="179">
        <f>'[5]SST Balance Sheet'!$E$84</f>
        <v>0</v>
      </c>
      <c r="H85" s="29" t="str">
        <f t="shared" si="2"/>
        <v>No</v>
      </c>
    </row>
    <row r="86" spans="1:8" ht="14.5">
      <c r="A86" s="39"/>
      <c r="B86" s="23" t="str">
        <f>VLOOKUP("T6.r.75",Glossary,2,FALSE)</f>
        <v>Andere Kapitalanlagen (Infrastrukturanlagen, Currency Overlay, u.a.)</v>
      </c>
      <c r="C86" s="177">
        <f>[4]Differences_Stat_SSTBalance!$G$86</f>
        <v>0</v>
      </c>
      <c r="D86" s="178">
        <f>[5]Differences_Stat_SSTBalance!$F$85</f>
        <v>0</v>
      </c>
      <c r="E86" s="178">
        <f>'[4]SST Balance Sheet'!$F$86</f>
        <v>0</v>
      </c>
      <c r="F86" s="179">
        <f>'[5]SST Balance Sheet'!$E$85</f>
        <v>0</v>
      </c>
      <c r="H86" s="29" t="str">
        <f t="shared" si="2"/>
        <v>No</v>
      </c>
    </row>
    <row r="87" spans="1:8" ht="14.5">
      <c r="A87" s="39"/>
      <c r="C87" s="177"/>
      <c r="D87" s="178"/>
      <c r="E87" s="178"/>
      <c r="F87" s="179"/>
      <c r="H87" s="29" t="s">
        <v>1141</v>
      </c>
    </row>
    <row r="88" spans="1:8" ht="14.5">
      <c r="A88" s="39"/>
      <c r="B88" s="160" t="str">
        <f>VLOOKUP("T6.r.77",Glossary,2,FALSE)</f>
        <v>Total Kapitalanlagen</v>
      </c>
      <c r="C88" s="177">
        <f>[4]Differences_Stat_SSTBalance!$G$88</f>
        <v>0</v>
      </c>
      <c r="D88" s="178">
        <f>[5]Differences_Stat_SSTBalance!$F$89</f>
        <v>0</v>
      </c>
      <c r="E88" s="178">
        <f>'[4]SST Balance Sheet'!$F$88</f>
        <v>0</v>
      </c>
      <c r="F88" s="178">
        <f>'[5]SST Balance Sheet'!$E$89</f>
        <v>0</v>
      </c>
      <c r="H88" s="29" t="s">
        <v>5</v>
      </c>
    </row>
    <row r="89" spans="1:8" ht="14.5">
      <c r="A89" s="39"/>
      <c r="C89" s="177"/>
      <c r="D89" s="178"/>
      <c r="E89" s="178"/>
      <c r="F89" s="179"/>
      <c r="H89" s="29" t="s">
        <v>1141</v>
      </c>
    </row>
    <row r="90" spans="1:8" ht="14.5">
      <c r="A90" s="39"/>
      <c r="B90" s="160" t="str">
        <f>VLOOKUP("T6.r.78",Glossary,2,FALSE)</f>
        <v>Übrige Aktiven</v>
      </c>
      <c r="C90" s="177"/>
      <c r="D90" s="178"/>
      <c r="E90" s="178"/>
      <c r="F90" s="179"/>
      <c r="H90" s="29" t="s">
        <v>1141</v>
      </c>
    </row>
    <row r="91" spans="1:8" ht="14.5">
      <c r="A91" s="39"/>
      <c r="C91" s="177"/>
      <c r="D91" s="178"/>
      <c r="E91" s="178"/>
      <c r="F91" s="179"/>
      <c r="H91" s="29" t="s">
        <v>1141</v>
      </c>
    </row>
    <row r="92" spans="1:8" ht="14.5">
      <c r="A92" s="39"/>
      <c r="B92" s="158" t="str">
        <f>VLOOKUP("T6.r.79",Glossary,2,FALSE)</f>
        <v>1.2 Kapitalanlagen aus anteilgebundener Lebensversicherung</v>
      </c>
      <c r="C92" s="175">
        <f>[4]Differences_Stat_SSTBalance!$G$92</f>
        <v>0</v>
      </c>
      <c r="D92" s="176">
        <f>[5]Differences_Stat_SSTBalance!$F$93</f>
        <v>0</v>
      </c>
      <c r="E92" s="176">
        <f>'[4]SST Balance Sheet'!$F$92</f>
        <v>0</v>
      </c>
      <c r="F92" s="176">
        <f>'[5]SST Balance Sheet'!$E$93</f>
        <v>0</v>
      </c>
      <c r="H92" s="29" t="str">
        <f t="shared" ref="H92:H120" si="3">IF(AND(C92=0,D92=0,E92=0,F92=0,ISNUMBER(C92)),"No","Yes")</f>
        <v>No</v>
      </c>
    </row>
    <row r="93" spans="1:8" ht="14.5">
      <c r="A93" s="39"/>
      <c r="B93" s="160" t="str">
        <f>VLOOKUP("T6.r.80",Glossary,2,FALSE)</f>
        <v>Fondsanteilgebundene Lebensversicherung</v>
      </c>
      <c r="C93" s="177">
        <f>[4]Differences_Stat_SSTBalance!$G$93</f>
        <v>0</v>
      </c>
      <c r="D93" s="181">
        <f>[5]Differences_Stat_SSTBalance!$F$94</f>
        <v>0</v>
      </c>
      <c r="E93" s="178">
        <f>'[4]SST Balance Sheet'!$F$93</f>
        <v>0</v>
      </c>
      <c r="F93" s="179">
        <f>'[5]SST Balance Sheet'!$E$94</f>
        <v>0</v>
      </c>
      <c r="H93" s="29" t="str">
        <f t="shared" si="3"/>
        <v>No</v>
      </c>
    </row>
    <row r="94" spans="1:8" ht="14.5">
      <c r="A94" s="39"/>
      <c r="C94" s="177"/>
      <c r="D94" s="181"/>
      <c r="E94" s="178"/>
      <c r="F94" s="179"/>
      <c r="H94" s="29" t="s">
        <v>1141</v>
      </c>
    </row>
    <row r="95" spans="1:8" ht="14.5">
      <c r="A95" s="39"/>
      <c r="B95" s="160" t="str">
        <f>VLOOKUP("T6.r.81",Glossary,2,FALSE)</f>
        <v>An interne Anlagebestände oder andere Bezugswerte gebundene Lebensversicherung</v>
      </c>
      <c r="C95" s="177">
        <f>[4]Differences_Stat_SSTBalance!$G$95</f>
        <v>0</v>
      </c>
      <c r="D95" s="181">
        <f>[5]Differences_Stat_SSTBalance!$F$96</f>
        <v>0</v>
      </c>
      <c r="E95" s="178">
        <f>'[4]SST Balance Sheet'!$F$95</f>
        <v>0</v>
      </c>
      <c r="F95" s="179">
        <f>'[5]SST Balance Sheet'!$E$96</f>
        <v>0</v>
      </c>
      <c r="H95" s="29" t="str">
        <f t="shared" si="3"/>
        <v>No</v>
      </c>
    </row>
    <row r="96" spans="1:8" ht="14.5">
      <c r="A96" s="39"/>
      <c r="B96" s="23" t="str">
        <f>VLOOKUP("T6.r.82",Glossary,2,FALSE)</f>
        <v>Immobilien</v>
      </c>
      <c r="C96" s="177">
        <f>[4]Differences_Stat_SSTBalance!$G$96</f>
        <v>0</v>
      </c>
      <c r="D96" s="181">
        <f>[5]Differences_Stat_SSTBalance!$F$97</f>
        <v>0</v>
      </c>
      <c r="E96" s="178">
        <f>'[4]SST Balance Sheet'!$F$96</f>
        <v>0</v>
      </c>
      <c r="F96" s="179">
        <f>'[5]SST Balance Sheet'!$E$97</f>
        <v>0</v>
      </c>
      <c r="H96" s="29" t="str">
        <f t="shared" si="3"/>
        <v>No</v>
      </c>
    </row>
    <row r="97" spans="1:8" ht="14.5">
      <c r="A97" s="39"/>
      <c r="B97" s="23" t="str">
        <f>VLOOKUP("T6.r.83",Glossary,2,FALSE)</f>
        <v>Festverzinsliche Wertpapiere, Darlehen</v>
      </c>
      <c r="C97" s="177">
        <f>[4]Differences_Stat_SSTBalance!$G$97</f>
        <v>0</v>
      </c>
      <c r="D97" s="181">
        <f>[5]Differences_Stat_SSTBalance!$F$98</f>
        <v>0</v>
      </c>
      <c r="E97" s="178">
        <f>'[4]SST Balance Sheet'!$F$97</f>
        <v>0</v>
      </c>
      <c r="F97" s="179">
        <f>'[5]SST Balance Sheet'!$E$98</f>
        <v>0</v>
      </c>
      <c r="H97" s="29" t="str">
        <f t="shared" si="3"/>
        <v>No</v>
      </c>
    </row>
    <row r="98" spans="1:8" ht="14.5">
      <c r="A98" s="39"/>
      <c r="B98" s="23" t="str">
        <f>VLOOKUP("T6.r.84",Glossary,2,FALSE)</f>
        <v>Hypotheken</v>
      </c>
      <c r="C98" s="177">
        <f>[4]Differences_Stat_SSTBalance!$G$98</f>
        <v>0</v>
      </c>
      <c r="D98" s="181">
        <f>[5]Differences_Stat_SSTBalance!$F$99</f>
        <v>0</v>
      </c>
      <c r="E98" s="178">
        <f>'[4]SST Balance Sheet'!$F$98</f>
        <v>0</v>
      </c>
      <c r="F98" s="179">
        <f>'[5]SST Balance Sheet'!$E$99</f>
        <v>0</v>
      </c>
      <c r="H98" s="29" t="str">
        <f t="shared" si="3"/>
        <v>No</v>
      </c>
    </row>
    <row r="99" spans="1:8" ht="14.5">
      <c r="A99" s="39"/>
      <c r="B99" s="23" t="str">
        <f>VLOOKUP("T6.r.85",Glossary,2,FALSE)</f>
        <v>Aktien und ähnliche Wertschriften</v>
      </c>
      <c r="C99" s="177">
        <f>[4]Differences_Stat_SSTBalance!$G$99</f>
        <v>0</v>
      </c>
      <c r="D99" s="181">
        <f>[5]Differences_Stat_SSTBalance!$F$100</f>
        <v>0</v>
      </c>
      <c r="E99" s="178">
        <f>'[4]SST Balance Sheet'!$F$99</f>
        <v>0</v>
      </c>
      <c r="F99" s="179">
        <f>'[5]SST Balance Sheet'!$E$100</f>
        <v>0</v>
      </c>
      <c r="H99" s="29" t="str">
        <f t="shared" si="3"/>
        <v>No</v>
      </c>
    </row>
    <row r="100" spans="1:8" ht="14.5">
      <c r="A100" s="39"/>
      <c r="B100" s="23" t="str">
        <f>VLOOKUP("T6.r.86",Glossary,2,FALSE)</f>
        <v>Alternative Anlagen</v>
      </c>
      <c r="C100" s="177">
        <f>[4]Differences_Stat_SSTBalance!$G$100</f>
        <v>0</v>
      </c>
      <c r="D100" s="181">
        <f>[5]Differences_Stat_SSTBalance!$F$101</f>
        <v>0</v>
      </c>
      <c r="E100" s="178">
        <f>'[4]SST Balance Sheet'!$F$100</f>
        <v>0</v>
      </c>
      <c r="F100" s="179">
        <f>'[5]SST Balance Sheet'!$E$101</f>
        <v>0</v>
      </c>
      <c r="H100" s="29" t="str">
        <f t="shared" si="3"/>
        <v>No</v>
      </c>
    </row>
    <row r="101" spans="1:8" ht="14.5">
      <c r="A101" s="39"/>
      <c r="B101" s="23" t="str">
        <f>VLOOKUP("T6.r.87",Glossary,2,FALSE)</f>
        <v>Übrige Anlagen</v>
      </c>
      <c r="C101" s="177">
        <f>[4]Differences_Stat_SSTBalance!$G$101</f>
        <v>0</v>
      </c>
      <c r="D101" s="181">
        <f>[5]Differences_Stat_SSTBalance!$F$102</f>
        <v>0</v>
      </c>
      <c r="E101" s="178">
        <f>'[4]SST Balance Sheet'!$F$101</f>
        <v>0</v>
      </c>
      <c r="F101" s="179">
        <f>'[5]SST Balance Sheet'!$E$102</f>
        <v>0</v>
      </c>
      <c r="H101" s="29" t="str">
        <f t="shared" si="3"/>
        <v>No</v>
      </c>
    </row>
    <row r="102" spans="1:8" ht="14.5">
      <c r="A102" s="39"/>
      <c r="C102" s="177"/>
      <c r="D102" s="181"/>
      <c r="E102" s="178"/>
      <c r="F102" s="179"/>
      <c r="H102" s="29" t="s">
        <v>1141</v>
      </c>
    </row>
    <row r="103" spans="1:8" ht="14.5">
      <c r="A103" s="39"/>
      <c r="B103" s="44" t="str">
        <f>VLOOKUP("T6.r.89",Glossary,2,FALSE)</f>
        <v>1.3 Forderungen aus derivativen Finanzinstrumenten</v>
      </c>
      <c r="C103" s="175">
        <f>[4]Differences_Stat_SSTBalance!$G$103</f>
        <v>0</v>
      </c>
      <c r="D103" s="176">
        <f>[5]Differences_Stat_SSTBalance!$F$106</f>
        <v>0</v>
      </c>
      <c r="E103" s="176">
        <f>'[4]SST Balance Sheet'!$F$103</f>
        <v>0</v>
      </c>
      <c r="F103" s="176">
        <f>'[5]SST Balance Sheet'!$E$106</f>
        <v>0</v>
      </c>
      <c r="H103" s="29" t="str">
        <f t="shared" si="3"/>
        <v>No</v>
      </c>
    </row>
    <row r="104" spans="1:8" ht="14.5">
      <c r="A104" s="39"/>
      <c r="B104" s="23" t="str">
        <f>VLOOKUP("T6.r.90",Glossary,2,FALSE)</f>
        <v>Zinsrisikobezogene Instrumente</v>
      </c>
      <c r="C104" s="177">
        <f>[4]Differences_Stat_SSTBalance!$G$104</f>
        <v>0</v>
      </c>
      <c r="D104" s="181">
        <f>[5]Differences_Stat_SSTBalance!$F$107</f>
        <v>0</v>
      </c>
      <c r="E104" s="178">
        <f>'[4]SST Balance Sheet'!$F$104</f>
        <v>0</v>
      </c>
      <c r="F104" s="179">
        <f>'[5]SST Balance Sheet'!$E$107</f>
        <v>0</v>
      </c>
      <c r="H104" s="29" t="str">
        <f t="shared" si="3"/>
        <v>No</v>
      </c>
    </row>
    <row r="105" spans="1:8" ht="14.5">
      <c r="A105" s="39"/>
      <c r="B105" s="23" t="str">
        <f>VLOOKUP("T6.r.91",Glossary,2,FALSE)</f>
        <v>Währungsrisikobezogene Instrumente</v>
      </c>
      <c r="C105" s="177">
        <f>[4]Differences_Stat_SSTBalance!$G$105</f>
        <v>0</v>
      </c>
      <c r="D105" s="181">
        <f>[5]Differences_Stat_SSTBalance!$F$108</f>
        <v>0</v>
      </c>
      <c r="E105" s="178">
        <f>'[4]SST Balance Sheet'!$F$105</f>
        <v>0</v>
      </c>
      <c r="F105" s="179">
        <f>'[5]SST Balance Sheet'!$E$108</f>
        <v>0</v>
      </c>
      <c r="H105" s="29" t="str">
        <f t="shared" si="3"/>
        <v>No</v>
      </c>
    </row>
    <row r="106" spans="1:8" ht="14.5">
      <c r="A106" s="39"/>
      <c r="B106" s="23" t="str">
        <f>VLOOKUP("T6.r.92",Glossary,2,FALSE)</f>
        <v>(Aktien-)Marktrisikobezogene Instrumente</v>
      </c>
      <c r="C106" s="177">
        <f>[4]Differences_Stat_SSTBalance!$G$106</f>
        <v>0</v>
      </c>
      <c r="D106" s="181">
        <f>[5]Differences_Stat_SSTBalance!$F$109</f>
        <v>0</v>
      </c>
      <c r="E106" s="178">
        <f>'[4]SST Balance Sheet'!$F$106</f>
        <v>0</v>
      </c>
      <c r="F106" s="179">
        <f>'[5]SST Balance Sheet'!$E$109</f>
        <v>0</v>
      </c>
      <c r="H106" s="29" t="str">
        <f t="shared" si="3"/>
        <v>No</v>
      </c>
    </row>
    <row r="107" spans="1:8" ht="14.5">
      <c r="A107" s="39"/>
      <c r="B107" s="23" t="str">
        <f>VLOOKUP("T6.r.93",Glossary,2,FALSE)</f>
        <v>Kreditrisikobezogene Instrumente</v>
      </c>
      <c r="C107" s="177">
        <f>[4]Differences_Stat_SSTBalance!$G$107</f>
        <v>0</v>
      </c>
      <c r="D107" s="181">
        <f>[5]Differences_Stat_SSTBalance!$F$110</f>
        <v>0</v>
      </c>
      <c r="E107" s="178">
        <f>'[4]SST Balance Sheet'!$F$107</f>
        <v>0</v>
      </c>
      <c r="F107" s="179">
        <f>'[5]SST Balance Sheet'!$E$110</f>
        <v>0</v>
      </c>
      <c r="H107" s="29" t="str">
        <f t="shared" si="3"/>
        <v>No</v>
      </c>
    </row>
    <row r="108" spans="1:8" ht="14.5">
      <c r="A108" s="39"/>
      <c r="B108" s="23" t="str">
        <f>VLOOKUP("T6.r.94",Glossary,2,FALSE)</f>
        <v>Versicherungsrisikobezogene Instrumente (z.B. Cat Derivate)</v>
      </c>
      <c r="C108" s="177">
        <f>[4]Differences_Stat_SSTBalance!$G$108</f>
        <v>0</v>
      </c>
      <c r="D108" s="181">
        <f>[5]Differences_Stat_SSTBalance!$F$111</f>
        <v>0</v>
      </c>
      <c r="E108" s="178">
        <f>'[4]SST Balance Sheet'!$F$108</f>
        <v>0</v>
      </c>
      <c r="F108" s="179">
        <f>'[5]SST Balance Sheet'!$E$111</f>
        <v>0</v>
      </c>
      <c r="H108" s="29" t="str">
        <f t="shared" si="3"/>
        <v>No</v>
      </c>
    </row>
    <row r="109" spans="1:8" ht="14.5">
      <c r="A109" s="39"/>
      <c r="B109" s="23" t="str">
        <f>VLOOKUP("T6.r.95",Glossary,2,FALSE)</f>
        <v>Übrige derivative Instrumente</v>
      </c>
      <c r="C109" s="177">
        <f>[4]Differences_Stat_SSTBalance!$G$109</f>
        <v>0</v>
      </c>
      <c r="D109" s="181">
        <f>[5]Differences_Stat_SSTBalance!$F$112</f>
        <v>0</v>
      </c>
      <c r="E109" s="178">
        <f>'[4]SST Balance Sheet'!$F$109</f>
        <v>0</v>
      </c>
      <c r="F109" s="179">
        <f>'[5]SST Balance Sheet'!$E$112</f>
        <v>0</v>
      </c>
      <c r="H109" s="29" t="str">
        <f t="shared" si="3"/>
        <v>No</v>
      </c>
    </row>
    <row r="110" spans="1:8" ht="14.5">
      <c r="A110" s="39"/>
      <c r="C110" s="177"/>
      <c r="D110" s="181"/>
      <c r="E110" s="178"/>
      <c r="F110" s="179"/>
      <c r="H110" s="29" t="s">
        <v>1141</v>
      </c>
    </row>
    <row r="111" spans="1:8" ht="14.5">
      <c r="A111" s="39"/>
      <c r="B111" s="44" t="str">
        <f>VLOOKUP("T6.r.96",Glossary,2,FALSE)</f>
        <v>1.4 Depotforderungen aus übernommener Rückversicherung</v>
      </c>
      <c r="C111" s="175">
        <f>[4]Differences_Stat_SSTBalance!$G$111</f>
        <v>0</v>
      </c>
      <c r="D111" s="176">
        <f>[5]Differences_Stat_SSTBalance!$F$114</f>
        <v>0</v>
      </c>
      <c r="E111" s="176">
        <f>'[4]SST Balance Sheet'!$F$111</f>
        <v>0</v>
      </c>
      <c r="F111" s="176">
        <f>'[5]SST Balance Sheet'!$E$114</f>
        <v>0</v>
      </c>
      <c r="H111" s="29" t="str">
        <f t="shared" si="3"/>
        <v>No</v>
      </c>
    </row>
    <row r="112" spans="1:8" ht="14.5">
      <c r="A112" s="39"/>
      <c r="C112" s="177"/>
      <c r="D112" s="181"/>
      <c r="E112" s="178"/>
      <c r="F112" s="179"/>
      <c r="H112" s="29" t="s">
        <v>1141</v>
      </c>
    </row>
    <row r="113" spans="1:8" ht="14.5">
      <c r="A113" s="39"/>
      <c r="B113" s="44" t="str">
        <f>VLOOKUP("T6.r.97",Glossary,2,FALSE)</f>
        <v>1.5 Flüssige Mittel</v>
      </c>
      <c r="C113" s="175">
        <f>[4]Differences_Stat_SSTBalance!$G$113</f>
        <v>0</v>
      </c>
      <c r="D113" s="176">
        <f>[5]Differences_Stat_SSTBalance!$F$116</f>
        <v>0</v>
      </c>
      <c r="E113" s="176">
        <f>'[4]SST Balance Sheet'!$F$113</f>
        <v>0</v>
      </c>
      <c r="F113" s="176">
        <f>'[5]SST Balance Sheet'!$E$116</f>
        <v>0</v>
      </c>
      <c r="H113" s="29" t="str">
        <f t="shared" si="3"/>
        <v>No</v>
      </c>
    </row>
    <row r="114" spans="1:8" ht="14.5">
      <c r="A114" s="39"/>
      <c r="B114" s="23" t="str">
        <f>VLOOKUP("T6.r.98",Glossary,2,FALSE)</f>
        <v>Bargeld</v>
      </c>
      <c r="C114" s="177">
        <f>[4]Differences_Stat_SSTBalance!$G$114</f>
        <v>0</v>
      </c>
      <c r="D114" s="181">
        <f>[5]Differences_Stat_SSTBalance!$F$117</f>
        <v>0</v>
      </c>
      <c r="E114" s="181">
        <f>'[4]SST Balance Sheet'!$F$114</f>
        <v>0</v>
      </c>
      <c r="F114" s="179">
        <f>'[5]SST Balance Sheet'!$E$117</f>
        <v>0</v>
      </c>
      <c r="H114" s="29" t="str">
        <f t="shared" si="3"/>
        <v>No</v>
      </c>
    </row>
    <row r="115" spans="1:8" ht="14.5">
      <c r="A115" s="39"/>
      <c r="B115" s="23" t="str">
        <f>VLOOKUP("T6.r.99",Glossary,2,FALSE)</f>
        <v>Bankguthaben</v>
      </c>
      <c r="C115" s="177">
        <f>[4]Differences_Stat_SSTBalance!$G$115</f>
        <v>0</v>
      </c>
      <c r="D115" s="181">
        <f>[5]Differences_Stat_SSTBalance!$F$118</f>
        <v>0</v>
      </c>
      <c r="E115" s="178">
        <f>'[4]SST Balance Sheet'!$F$115</f>
        <v>0</v>
      </c>
      <c r="F115" s="179">
        <f>'[5]SST Balance Sheet'!$E$118</f>
        <v>0</v>
      </c>
      <c r="H115" s="29" t="str">
        <f t="shared" si="3"/>
        <v>No</v>
      </c>
    </row>
    <row r="116" spans="1:8" ht="14.5">
      <c r="A116" s="39"/>
      <c r="B116" s="23" t="str">
        <f>VLOOKUP("T6.r.100",Glossary,2,FALSE)</f>
        <v>Forderungen aus Geldmarktanlagen</v>
      </c>
      <c r="C116" s="177">
        <f>[4]Differences_Stat_SSTBalance!$G$116</f>
        <v>0</v>
      </c>
      <c r="D116" s="181">
        <f>[5]Differences_Stat_SSTBalance!$F$119</f>
        <v>0</v>
      </c>
      <c r="E116" s="178">
        <f>'[4]SST Balance Sheet'!$F$116</f>
        <v>0</v>
      </c>
      <c r="F116" s="179">
        <f>'[5]SST Balance Sheet'!$E$119</f>
        <v>0</v>
      </c>
      <c r="H116" s="29" t="str">
        <f t="shared" si="3"/>
        <v>No</v>
      </c>
    </row>
    <row r="117" spans="1:8" ht="14.5">
      <c r="A117" s="39"/>
      <c r="C117" s="177"/>
      <c r="D117" s="181"/>
      <c r="E117" s="178"/>
      <c r="F117" s="179"/>
      <c r="H117" s="29" t="s">
        <v>1141</v>
      </c>
    </row>
    <row r="118" spans="1:8" ht="14.5">
      <c r="A118" s="39"/>
      <c r="B118" s="44" t="str">
        <f>VLOOKUP("T6.r.101",Glossary,2,FALSE)</f>
        <v>1.6 Anteil versicherungstechnische Rückstellungen aus Rückversicherung</v>
      </c>
      <c r="C118" s="175">
        <f>[4]Differences_Stat_SSTBalance!$G$118</f>
        <v>0</v>
      </c>
      <c r="D118" s="176">
        <f>[5]Differences_Stat_SSTBalance!$F$121</f>
        <v>0</v>
      </c>
      <c r="E118" s="176">
        <f>'[4]SST Balance Sheet'!$F$118</f>
        <v>0</v>
      </c>
      <c r="F118" s="176">
        <f>'[5]SST Balance Sheet'!$E$121</f>
        <v>0</v>
      </c>
      <c r="H118" s="29" t="str">
        <f t="shared" si="3"/>
        <v>No</v>
      </c>
    </row>
    <row r="119" spans="1:8" ht="14.5">
      <c r="A119" s="39"/>
      <c r="B119" s="23" t="str">
        <f>VLOOKUP("T6.r.102",Glossary,2,FALSE)</f>
        <v>Direktversicherung: Lebensversicherungsgeschäft (ohne ALV)</v>
      </c>
      <c r="C119" s="177">
        <f>[4]Differences_Stat_SSTBalance!$G$119</f>
        <v>0</v>
      </c>
      <c r="D119" s="181">
        <f>[5]Differences_Stat_SSTBalance!$F$122</f>
        <v>0</v>
      </c>
      <c r="E119" s="178">
        <f>'[4]SST Balance Sheet'!$F$119</f>
        <v>0</v>
      </c>
      <c r="F119" s="179">
        <f>'[5]SST Balance Sheet'!$E$122</f>
        <v>0</v>
      </c>
      <c r="H119" s="29" t="str">
        <f t="shared" si="3"/>
        <v>No</v>
      </c>
    </row>
    <row r="120" spans="1:8" ht="14.5">
      <c r="A120" s="39"/>
      <c r="B120" s="29" t="str">
        <f>VLOOKUP("T6.r.103",Glossary,2,FALSE)</f>
        <v>davon Anteil Rückversicherer (Leben) am Überschussfonds</v>
      </c>
      <c r="C120" s="177">
        <f>[4]Differences_Stat_SSTBalance!$G$120</f>
        <v>0</v>
      </c>
      <c r="D120" s="181">
        <f>[5]Differences_Stat_SSTBalance!$F$123</f>
        <v>0</v>
      </c>
      <c r="E120" s="178">
        <f>'[4]SST Balance Sheet'!$F$120</f>
        <v>0</v>
      </c>
      <c r="F120" s="179">
        <f>'[5]SST Balance Sheet'!$E$123</f>
        <v>0</v>
      </c>
      <c r="H120" s="29" t="str">
        <f t="shared" si="3"/>
        <v>No</v>
      </c>
    </row>
    <row r="121" spans="1:8" ht="14.5">
      <c r="A121" s="39"/>
      <c r="B121" s="23" t="str">
        <f>VLOOKUP("T6.r.104",Glossary,2,FALSE)</f>
        <v>Aktive Rückversicherung: Lebensversicherungsgeschäft (ohne ALV)</v>
      </c>
      <c r="C121" s="177">
        <f>[4]Differences_Stat_SSTBalance!$G$121</f>
        <v>0</v>
      </c>
      <c r="D121" s="181">
        <f>[5]Differences_Stat_SSTBalance!$F$124</f>
        <v>0</v>
      </c>
      <c r="E121" s="178">
        <f>'[4]SST Balance Sheet'!$F$121</f>
        <v>0</v>
      </c>
      <c r="F121" s="179">
        <f>'[5]SST Balance Sheet'!$E$124</f>
        <v>0</v>
      </c>
      <c r="H121" s="29" t="str">
        <f t="shared" ref="H121:H152" si="4">IF(AND(C121=0,D121=0,E121=0,F121=0,ISNUMBER(C121)),"No","Yes")</f>
        <v>No</v>
      </c>
    </row>
    <row r="122" spans="1:8" s="150" customFormat="1" ht="14.5">
      <c r="A122" s="149"/>
      <c r="B122" s="150" t="str">
        <f>VLOOKUP("T6.r.105",Glossary,2,FALSE)</f>
        <v>Direktversicherung: Schadenversicherungsgeschäft</v>
      </c>
      <c r="C122" s="177">
        <f>[4]Differences_Stat_SSTBalance!$G$122</f>
        <v>0</v>
      </c>
      <c r="D122" s="181">
        <f>[5]Differences_Stat_SSTBalance!$F$125</f>
        <v>0</v>
      </c>
      <c r="E122" s="178">
        <f>'[4]SST Balance Sheet'!$F$122</f>
        <v>0</v>
      </c>
      <c r="F122" s="182">
        <f>'[5]SST Balance Sheet'!$E$125</f>
        <v>0</v>
      </c>
      <c r="H122" s="151" t="str">
        <f t="shared" si="4"/>
        <v>No</v>
      </c>
    </row>
    <row r="123" spans="1:8" ht="14.5">
      <c r="A123" s="39"/>
      <c r="B123" s="29" t="str">
        <f>VLOOKUP("T6.r.106",Glossary,2,FALSE)</f>
        <v>Direktversicherung: Schadenversicherungsgeschäft - verdientes Geschäft</v>
      </c>
      <c r="C123" s="177">
        <f>[4]Differences_Stat_SSTBalance!$G$123</f>
        <v>0</v>
      </c>
      <c r="D123" s="161"/>
      <c r="E123" s="178">
        <f>'[4]SST Balance Sheet'!$F$123</f>
        <v>0</v>
      </c>
      <c r="F123" s="161"/>
      <c r="H123" s="29" t="str">
        <f t="shared" si="4"/>
        <v>No</v>
      </c>
    </row>
    <row r="124" spans="1:8" ht="14.5">
      <c r="A124" s="39"/>
      <c r="B124" s="29" t="str">
        <f>VLOOKUP("T6.r.107",Glossary,2,FALSE)</f>
        <v>Direktversicherung: Schadenversicherungsgeschäft - unverdientes Geschäft</v>
      </c>
      <c r="C124" s="177">
        <f>[4]Differences_Stat_SSTBalance!$G$124</f>
        <v>0</v>
      </c>
      <c r="D124" s="161"/>
      <c r="E124" s="178">
        <f>'[4]SST Balance Sheet'!$F$124</f>
        <v>0</v>
      </c>
      <c r="F124" s="161"/>
      <c r="H124" s="29" t="str">
        <f t="shared" si="4"/>
        <v>No</v>
      </c>
    </row>
    <row r="125" spans="1:8" ht="14.5">
      <c r="A125" s="39"/>
      <c r="B125" s="29" t="str">
        <f>VLOOKUP("T6.r.108",Glossary,2,FALSE)</f>
        <v>Anteil Rückversicherer (Schaden) am Überschussfonds</v>
      </c>
      <c r="C125" s="177">
        <f>[4]Differences_Stat_SSTBalance!$G$125</f>
        <v>0</v>
      </c>
      <c r="D125" s="179">
        <f>[5]Differences_Stat_SSTBalance!$F$126</f>
        <v>0</v>
      </c>
      <c r="E125" s="178">
        <f>'[4]SST Balance Sheet'!$F$125</f>
        <v>0</v>
      </c>
      <c r="F125" s="179">
        <f>'[5]SST Balance Sheet'!$E$126</f>
        <v>0</v>
      </c>
      <c r="H125" s="29" t="str">
        <f t="shared" si="4"/>
        <v>No</v>
      </c>
    </row>
    <row r="126" spans="1:8" ht="14.5">
      <c r="A126" s="39"/>
      <c r="B126" s="23" t="str">
        <f>VLOOKUP("T6.r.109",Glossary,2,FALSE)</f>
        <v>Direktversicherung: Krankenversicherungsgeschäft</v>
      </c>
      <c r="C126" s="177">
        <f>[4]Differences_Stat_SSTBalance!$G$126</f>
        <v>0</v>
      </c>
      <c r="D126" s="179">
        <f>[5]Differences_Stat_SSTBalance!$F$127</f>
        <v>0</v>
      </c>
      <c r="E126" s="178">
        <f>'[4]SST Balance Sheet'!$F$126</f>
        <v>0</v>
      </c>
      <c r="F126" s="179">
        <f>'[5]SST Balance Sheet'!$E$127</f>
        <v>0</v>
      </c>
      <c r="H126" s="29" t="str">
        <f t="shared" si="4"/>
        <v>No</v>
      </c>
    </row>
    <row r="127" spans="1:8" ht="14.5">
      <c r="A127" s="39"/>
      <c r="B127" s="29" t="str">
        <f>VLOOKUP("T6.r.110",Glossary,2,FALSE)</f>
        <v>davon Anteil Rückversicherer (Kranken) am Überschussfonds</v>
      </c>
      <c r="C127" s="177">
        <f>[4]Differences_Stat_SSTBalance!$G$127</f>
        <v>0</v>
      </c>
      <c r="D127" s="179">
        <f>[5]Differences_Stat_SSTBalance!$F$128</f>
        <v>0</v>
      </c>
      <c r="E127" s="178">
        <f>'[4]SST Balance Sheet'!$F$127</f>
        <v>0</v>
      </c>
      <c r="F127" s="179">
        <f>'[5]SST Balance Sheet'!$E$128</f>
        <v>0</v>
      </c>
      <c r="H127" s="29" t="str">
        <f t="shared" si="4"/>
        <v>No</v>
      </c>
    </row>
    <row r="128" spans="1:8" ht="14.5">
      <c r="A128" s="39"/>
      <c r="B128" s="23" t="str">
        <f>VLOOKUP("T6.r.111",Glossary,2,FALSE)</f>
        <v>Aktive Rückversicherung: Schadenversicherungsgeschäft</v>
      </c>
      <c r="C128" s="177">
        <f>[4]Differences_Stat_SSTBalance!$G$128</f>
        <v>0</v>
      </c>
      <c r="D128" s="179">
        <f>[5]Differences_Stat_SSTBalance!$F$129</f>
        <v>0</v>
      </c>
      <c r="E128" s="178">
        <f>'[4]SST Balance Sheet'!$F$128</f>
        <v>0</v>
      </c>
      <c r="F128" s="179">
        <f>'[5]SST Balance Sheet'!$E$129</f>
        <v>0</v>
      </c>
      <c r="H128" s="29" t="str">
        <f t="shared" si="4"/>
        <v>No</v>
      </c>
    </row>
    <row r="129" spans="1:8" ht="14.5">
      <c r="A129" s="39"/>
      <c r="B129" s="29" t="str">
        <f>VLOOKUP("T6.r.112",Glossary,2,FALSE)</f>
        <v>Aktive Rückversicherung (Schaden) - verdientes Geschäft</v>
      </c>
      <c r="C129" s="177">
        <f>[4]Differences_Stat_SSTBalance!$G$129</f>
        <v>0</v>
      </c>
      <c r="D129" s="161"/>
      <c r="E129" s="178">
        <f>'[4]SST Balance Sheet'!$F$129</f>
        <v>0</v>
      </c>
      <c r="F129" s="161"/>
      <c r="H129" s="29" t="str">
        <f t="shared" si="4"/>
        <v>No</v>
      </c>
    </row>
    <row r="130" spans="1:8" ht="14.5">
      <c r="A130" s="39"/>
      <c r="B130" s="29" t="str">
        <f>VLOOKUP("T6.r.113",Glossary,2,FALSE)</f>
        <v>Aktive Rückversicherung (Schaden) - unverdientes Geschäft</v>
      </c>
      <c r="C130" s="177">
        <f>[4]Differences_Stat_SSTBalance!$G$130</f>
        <v>0</v>
      </c>
      <c r="D130" s="161"/>
      <c r="E130" s="178">
        <f>'[4]SST Balance Sheet'!$F$130</f>
        <v>0</v>
      </c>
      <c r="F130" s="161"/>
      <c r="H130" s="29" t="str">
        <f t="shared" si="4"/>
        <v>No</v>
      </c>
    </row>
    <row r="131" spans="1:8" ht="14.5">
      <c r="A131" s="39"/>
      <c r="B131" s="23" t="str">
        <f>VLOOKUP("T6.r.114",Glossary,2,FALSE)</f>
        <v>Aktive Rückversicherung: Krankenversicherungsgeschäft</v>
      </c>
      <c r="C131" s="177">
        <f>[4]Differences_Stat_SSTBalance!$G$131</f>
        <v>0</v>
      </c>
      <c r="D131" s="179">
        <f>[5]Differences_Stat_SSTBalance!$F$130</f>
        <v>0</v>
      </c>
      <c r="E131" s="178">
        <f>'[4]SST Balance Sheet'!$F$131</f>
        <v>0</v>
      </c>
      <c r="F131" s="179">
        <f>'[5]SST Balance Sheet'!$E$130</f>
        <v>0</v>
      </c>
      <c r="H131" s="29" t="str">
        <f t="shared" si="4"/>
        <v>No</v>
      </c>
    </row>
    <row r="132" spans="1:8" s="154" customFormat="1" ht="14.5">
      <c r="A132" s="152"/>
      <c r="B132" s="153" t="str">
        <f>VLOOKUP("T6.r.115",Glossary,2,FALSE)</f>
        <v>Direktversicherung: Anteilgebundenes Lebensversicherungsgeschäft</v>
      </c>
      <c r="C132" s="177">
        <f>[4]Differences_Stat_SSTBalance!$G$132</f>
        <v>0</v>
      </c>
      <c r="D132" s="181">
        <f>[5]Differences_Stat_SSTBalance!$F$133</f>
        <v>0</v>
      </c>
      <c r="E132" s="178">
        <f>'[4]SST Balance Sheet'!$F$132</f>
        <v>0</v>
      </c>
      <c r="F132" s="181">
        <f>'[5]SST Balance Sheet'!$E$133</f>
        <v>0</v>
      </c>
      <c r="H132" s="155" t="str">
        <f t="shared" si="4"/>
        <v>No</v>
      </c>
    </row>
    <row r="133" spans="1:8" ht="14.5">
      <c r="A133" s="39"/>
      <c r="B133" s="23" t="str">
        <f>VLOOKUP("T6.r.116",Glossary,2,FALSE)</f>
        <v>Aktive Rückversicherung: Anteilgebundenes Lebensversicherungsgeschäft</v>
      </c>
      <c r="C133" s="177">
        <f>[4]Differences_Stat_SSTBalance!$G$133</f>
        <v>0</v>
      </c>
      <c r="D133" s="181">
        <f>[5]Differences_Stat_SSTBalance!$F$134</f>
        <v>0</v>
      </c>
      <c r="E133" s="178">
        <f>'[4]SST Balance Sheet'!$F$133</f>
        <v>0</v>
      </c>
      <c r="F133" s="179">
        <f>'[5]SST Balance Sheet'!$E$134</f>
        <v>0</v>
      </c>
      <c r="H133" s="29" t="str">
        <f t="shared" si="4"/>
        <v>No</v>
      </c>
    </row>
    <row r="134" spans="1:8" ht="14.5">
      <c r="A134" s="39"/>
      <c r="C134" s="177"/>
      <c r="D134" s="181"/>
      <c r="E134" s="178"/>
      <c r="F134" s="179"/>
      <c r="H134" s="29" t="s">
        <v>1141</v>
      </c>
    </row>
    <row r="135" spans="1:8" ht="14.5">
      <c r="A135" s="39"/>
      <c r="B135" s="44" t="str">
        <f>VLOOKUP("T6.r.117",Glossary,2,FALSE)</f>
        <v>1.7 Sachanlagen</v>
      </c>
      <c r="C135" s="175">
        <f>[4]Differences_Stat_SSTBalance!$G$135</f>
        <v>0</v>
      </c>
      <c r="D135" s="176">
        <f>[5]Differences_Stat_SSTBalance!$F$136</f>
        <v>0</v>
      </c>
      <c r="E135" s="176">
        <f>'[4]SST Balance Sheet'!$F$135</f>
        <v>0</v>
      </c>
      <c r="F135" s="176">
        <f>'[5]SST Balance Sheet'!$E$136</f>
        <v>0</v>
      </c>
      <c r="H135" s="29" t="str">
        <f t="shared" si="4"/>
        <v>No</v>
      </c>
    </row>
    <row r="136" spans="1:8" s="154" customFormat="1" ht="14.5">
      <c r="A136" s="152"/>
      <c r="B136" s="153" t="str">
        <f>VLOOKUP("T6.r.118",Glossary,2,FALSE)</f>
        <v>Betriebsliegenschaften</v>
      </c>
      <c r="C136" s="177">
        <f>[4]Differences_Stat_SSTBalance!$G$136</f>
        <v>0</v>
      </c>
      <c r="D136" s="181">
        <f>[5]Differences_Stat_SSTBalance!$F$137</f>
        <v>0</v>
      </c>
      <c r="E136" s="178">
        <f>'[4]SST Balance Sheet'!$F$136</f>
        <v>0</v>
      </c>
      <c r="F136" s="181">
        <f>'[5]SST Balance Sheet'!$E$137</f>
        <v>0</v>
      </c>
      <c r="H136" s="29" t="str">
        <f t="shared" si="4"/>
        <v>No</v>
      </c>
    </row>
    <row r="137" spans="1:8" s="154" customFormat="1" ht="14.5">
      <c r="A137" s="152"/>
      <c r="B137" s="153" t="str">
        <f>VLOOKUP("T6.r.119",Glossary,2,FALSE)</f>
        <v>Sonstige Sachanlagen</v>
      </c>
      <c r="C137" s="177">
        <f>[4]Differences_Stat_SSTBalance!$G$137</f>
        <v>0</v>
      </c>
      <c r="D137" s="181">
        <f>[5]Differences_Stat_SSTBalance!$F$138</f>
        <v>0</v>
      </c>
      <c r="E137" s="178">
        <f>'[4]SST Balance Sheet'!$F$137</f>
        <v>0</v>
      </c>
      <c r="F137" s="181">
        <f>'[5]SST Balance Sheet'!$E$138</f>
        <v>0</v>
      </c>
      <c r="H137" s="29" t="str">
        <f t="shared" si="4"/>
        <v>No</v>
      </c>
    </row>
    <row r="138" spans="1:8" ht="14.5">
      <c r="A138" s="39"/>
      <c r="C138" s="177"/>
      <c r="D138" s="181"/>
      <c r="E138" s="178"/>
      <c r="F138" s="179"/>
      <c r="H138" s="29" t="s">
        <v>1141</v>
      </c>
    </row>
    <row r="139" spans="1:8" ht="14.5">
      <c r="A139" s="39"/>
      <c r="B139" s="44" t="str">
        <f>VLOOKUP("T6.r.120",Glossary,2,FALSE)</f>
        <v>1.8 Aktivierte Abschlusskosten</v>
      </c>
      <c r="C139" s="175">
        <f>[4]Differences_Stat_SSTBalance!$G$139</f>
        <v>0</v>
      </c>
      <c r="D139" s="176">
        <f>[5]Differences_Stat_SSTBalance!$F$140</f>
        <v>0</v>
      </c>
      <c r="E139" s="176">
        <f>'[4]SST Balance Sheet'!$F$139</f>
        <v>0</v>
      </c>
      <c r="F139" s="176">
        <f>'[5]SST Balance Sheet'!$E$140</f>
        <v>0</v>
      </c>
      <c r="H139" s="29" t="str">
        <f t="shared" si="4"/>
        <v>No</v>
      </c>
    </row>
    <row r="140" spans="1:8" ht="14.5">
      <c r="A140" s="39"/>
      <c r="C140" s="177"/>
      <c r="D140" s="181"/>
      <c r="E140" s="178"/>
      <c r="F140" s="179"/>
      <c r="H140" s="29" t="s">
        <v>1141</v>
      </c>
    </row>
    <row r="141" spans="1:8" ht="14.5">
      <c r="A141" s="39"/>
      <c r="B141" s="44" t="str">
        <f>VLOOKUP("T6.r.121",Glossary,2,FALSE)</f>
        <v>1.9 Immaterielle Vermögenswerte</v>
      </c>
      <c r="C141" s="175">
        <f>[4]Differences_Stat_SSTBalance!$G$141</f>
        <v>0</v>
      </c>
      <c r="D141" s="176">
        <f>[5]Differences_Stat_SSTBalance!$F$142</f>
        <v>0</v>
      </c>
      <c r="E141" s="176">
        <f>'[4]SST Balance Sheet'!$F$141</f>
        <v>0</v>
      </c>
      <c r="F141" s="176">
        <f>'[5]SST Balance Sheet'!$E$142</f>
        <v>0</v>
      </c>
      <c r="H141" s="29" t="str">
        <f t="shared" si="4"/>
        <v>No</v>
      </c>
    </row>
    <row r="142" spans="1:8" s="24" customFormat="1" ht="14.5">
      <c r="A142" s="157"/>
      <c r="B142" s="156"/>
      <c r="C142" s="177"/>
      <c r="D142" s="181"/>
      <c r="E142" s="178"/>
      <c r="F142" s="181"/>
      <c r="H142" s="29" t="s">
        <v>1141</v>
      </c>
    </row>
    <row r="143" spans="1:8" ht="14.5">
      <c r="A143" s="39"/>
      <c r="B143" s="44" t="str">
        <f>VLOOKUP("T6.r.122",Glossary,2,FALSE)</f>
        <v>1.10 Forderungen aus dem Versicherungsgeschäft</v>
      </c>
      <c r="C143" s="175">
        <f>[4]Differences_Stat_SSTBalance!$G$143</f>
        <v>0</v>
      </c>
      <c r="D143" s="176">
        <f>[5]Differences_Stat_SSTBalance!$F$144</f>
        <v>0</v>
      </c>
      <c r="E143" s="176">
        <f>'[4]SST Balance Sheet'!$F$143</f>
        <v>0</v>
      </c>
      <c r="F143" s="176">
        <f>'[5]SST Balance Sheet'!$E$144</f>
        <v>0</v>
      </c>
      <c r="H143" s="29" t="str">
        <f t="shared" si="4"/>
        <v>No</v>
      </c>
    </row>
    <row r="144" spans="1:8" ht="14.5">
      <c r="A144" s="39"/>
      <c r="B144" s="23" t="str">
        <f>VLOOKUP("T6.r.123",Glossary,2,FALSE)</f>
        <v>Forderungen gegenüber Versicherungsnehmerinnen und Versicherungsnehmern, Vermittlerinnen und Vermittlern</v>
      </c>
      <c r="C144" s="177">
        <f>[4]Differences_Stat_SSTBalance!$G$144</f>
        <v>0</v>
      </c>
      <c r="D144" s="181">
        <f>[5]Differences_Stat_SSTBalance!$F$145</f>
        <v>0</v>
      </c>
      <c r="E144" s="178">
        <f>'[4]SST Balance Sheet'!$F$144</f>
        <v>0</v>
      </c>
      <c r="F144" s="179">
        <f>'[5]SST Balance Sheet'!$E$145</f>
        <v>0</v>
      </c>
      <c r="H144" s="29" t="str">
        <f t="shared" si="4"/>
        <v>No</v>
      </c>
    </row>
    <row r="145" spans="1:8" ht="14.5">
      <c r="A145" s="39"/>
      <c r="B145" s="23" t="str">
        <f>VLOOKUP("T6.r.124",Glossary,2,FALSE)</f>
        <v>Forderungen gegenüber Versicherungs- und Rückversicherungsgesellschaften</v>
      </c>
      <c r="C145" s="177">
        <f>[4]Differences_Stat_SSTBalance!$G$145</f>
        <v>0</v>
      </c>
      <c r="D145" s="181">
        <f>[5]Differences_Stat_SSTBalance!$F$146</f>
        <v>0</v>
      </c>
      <c r="E145" s="178">
        <f>'[4]SST Balance Sheet'!$F$145</f>
        <v>0</v>
      </c>
      <c r="F145" s="179">
        <f>'[5]SST Balance Sheet'!$E$146</f>
        <v>0</v>
      </c>
      <c r="H145" s="29" t="str">
        <f t="shared" si="4"/>
        <v>No</v>
      </c>
    </row>
    <row r="146" spans="1:8" ht="14.5">
      <c r="A146" s="39"/>
      <c r="B146" s="29" t="str">
        <f>VLOOKUP("T6.r.125",Glossary,2,FALSE)</f>
        <v>Forderungen gegenüber Versicherungsgesellschaften: abgegebene</v>
      </c>
      <c r="C146" s="177">
        <f>[4]Differences_Stat_SSTBalance!$G$146</f>
        <v>0</v>
      </c>
      <c r="D146" s="181">
        <f>[5]Differences_Stat_SSTBalance!$F$147</f>
        <v>0</v>
      </c>
      <c r="E146" s="178">
        <f>'[4]SST Balance Sheet'!$F$146</f>
        <v>0</v>
      </c>
      <c r="F146" s="179">
        <f>'[5]SST Balance Sheet'!$E$147</f>
        <v>0</v>
      </c>
      <c r="H146" s="29" t="str">
        <f t="shared" si="4"/>
        <v>No</v>
      </c>
    </row>
    <row r="147" spans="1:8" ht="14.5">
      <c r="A147" s="39"/>
      <c r="B147" s="29" t="str">
        <f>VLOOKUP("T6.r.126",Glossary,2,FALSE)</f>
        <v>Forderungen gegenüber Versicherungsgesellschaften: übernommene</v>
      </c>
      <c r="C147" s="177">
        <f>[4]Differences_Stat_SSTBalance!$G$147</f>
        <v>0</v>
      </c>
      <c r="D147" s="181">
        <f>[5]Differences_Stat_SSTBalance!$F$148</f>
        <v>0</v>
      </c>
      <c r="E147" s="178">
        <f>'[4]SST Balance Sheet'!$F$147</f>
        <v>0</v>
      </c>
      <c r="F147" s="179">
        <f>'[5]SST Balance Sheet'!$E$148</f>
        <v>0</v>
      </c>
      <c r="H147" s="29" t="str">
        <f t="shared" si="4"/>
        <v>No</v>
      </c>
    </row>
    <row r="148" spans="1:8" ht="14.5">
      <c r="A148" s="39"/>
      <c r="B148" s="29" t="str">
        <f>VLOOKUP("T6.r.127",Glossary,2,FALSE)</f>
        <v>Forderungen gegenüber Versicherungsgesellschaften: übrige</v>
      </c>
      <c r="C148" s="177">
        <f>[4]Differences_Stat_SSTBalance!$G$148</f>
        <v>0</v>
      </c>
      <c r="D148" s="181">
        <f>[5]Differences_Stat_SSTBalance!$F$149</f>
        <v>0</v>
      </c>
      <c r="E148" s="178">
        <f>'[4]SST Balance Sheet'!$F$148</f>
        <v>0</v>
      </c>
      <c r="F148" s="179">
        <f>'[5]SST Balance Sheet'!$E$149</f>
        <v>0</v>
      </c>
      <c r="H148" s="29" t="str">
        <f t="shared" si="4"/>
        <v>No</v>
      </c>
    </row>
    <row r="149" spans="1:8" ht="14.5">
      <c r="A149" s="39"/>
      <c r="B149" s="23" t="str">
        <f>VLOOKUP("T6.r.128",Glossary,2,FALSE)</f>
        <v>Sonstige Forderungen aus Versicherungs- und Rückversicherungstätigkeit</v>
      </c>
      <c r="C149" s="177">
        <f>[4]Differences_Stat_SSTBalance!$G$149</f>
        <v>0</v>
      </c>
      <c r="D149" s="161"/>
      <c r="E149" s="178">
        <f>'[4]SST Balance Sheet'!$F$149</f>
        <v>0</v>
      </c>
      <c r="F149" s="161"/>
      <c r="H149" s="29" t="str">
        <f t="shared" si="4"/>
        <v>No</v>
      </c>
    </row>
    <row r="150" spans="1:8" ht="14.5">
      <c r="A150" s="39"/>
      <c r="B150" s="23" t="str">
        <f>VLOOKUP("T6.r.129",Glossary,2,FALSE)</f>
        <v>Sonstige Depotforderungen</v>
      </c>
      <c r="C150" s="177">
        <f>[4]Differences_Stat_SSTBalance!$G$150</f>
        <v>0</v>
      </c>
      <c r="D150" s="161"/>
      <c r="E150" s="178">
        <f>'[4]SST Balance Sheet'!$F$150</f>
        <v>0</v>
      </c>
      <c r="F150" s="161"/>
      <c r="H150" s="29" t="str">
        <f t="shared" si="4"/>
        <v>No</v>
      </c>
    </row>
    <row r="151" spans="1:8" ht="14.5">
      <c r="A151" s="39"/>
      <c r="C151" s="177"/>
      <c r="D151" s="181"/>
      <c r="E151" s="178"/>
      <c r="F151" s="179"/>
      <c r="H151" s="29" t="s">
        <v>1141</v>
      </c>
    </row>
    <row r="152" spans="1:8" ht="14.5">
      <c r="A152" s="39"/>
      <c r="B152" s="44" t="str">
        <f>VLOOKUP("T6.r.130",Glossary,2,FALSE)</f>
        <v>1.11 Übrige Forderungen</v>
      </c>
      <c r="C152" s="175">
        <f>[4]Differences_Stat_SSTBalance!$G$152</f>
        <v>0</v>
      </c>
      <c r="D152" s="176">
        <f>[5]Differences_Stat_SSTBalance!$F$153</f>
        <v>0</v>
      </c>
      <c r="E152" s="176">
        <f>'[4]SST Balance Sheet'!$F$152</f>
        <v>0</v>
      </c>
      <c r="F152" s="176">
        <f>'[5]SST Balance Sheet'!$E$153</f>
        <v>0</v>
      </c>
      <c r="H152" s="29" t="str">
        <f t="shared" si="4"/>
        <v>No</v>
      </c>
    </row>
    <row r="153" spans="1:8" ht="14.5">
      <c r="A153" s="39"/>
      <c r="C153" s="177"/>
      <c r="D153" s="181"/>
      <c r="E153" s="178"/>
      <c r="F153" s="179"/>
      <c r="H153" s="29" t="s">
        <v>1141</v>
      </c>
    </row>
    <row r="154" spans="1:8" ht="14.5">
      <c r="A154" s="39"/>
      <c r="B154" s="44" t="str">
        <f>VLOOKUP("T6.r.131",Glossary,2,FALSE)</f>
        <v>1.12 Sonstige Aktiven</v>
      </c>
      <c r="C154" s="175">
        <f>[4]Differences_Stat_SSTBalance!$G$154</f>
        <v>0</v>
      </c>
      <c r="D154" s="176">
        <f>[5]Differences_Stat_SSTBalance!$F$155</f>
        <v>0</v>
      </c>
      <c r="E154" s="176">
        <f>'[4]SST Balance Sheet'!$F$154</f>
        <v>0</v>
      </c>
      <c r="F154" s="176">
        <f>'[5]SST Balance Sheet'!$E$155</f>
        <v>0</v>
      </c>
      <c r="H154" s="29" t="str">
        <f t="shared" ref="H154:H164" si="5">IF(AND(C154=0,D154=0,E154=0,F154=0,ISNUMBER(C154)),"No","Yes")</f>
        <v>No</v>
      </c>
    </row>
    <row r="155" spans="1:8" ht="14.5">
      <c r="A155" s="39"/>
      <c r="B155" s="23" t="str">
        <f>VLOOKUP("T6.r.132",Glossary,2,FALSE)</f>
        <v>Erhaltene Garantien</v>
      </c>
      <c r="C155" s="177">
        <f>[4]Differences_Stat_SSTBalance!$G$155</f>
        <v>0</v>
      </c>
      <c r="D155" s="181">
        <f>[5]Differences_Stat_SSTBalance!$F$156</f>
        <v>0</v>
      </c>
      <c r="E155" s="178">
        <f>'[4]SST Balance Sheet'!$F$155</f>
        <v>0</v>
      </c>
      <c r="F155" s="179">
        <f>'[5]SST Balance Sheet'!$E$156</f>
        <v>0</v>
      </c>
      <c r="H155" s="29" t="str">
        <f t="shared" si="5"/>
        <v>No</v>
      </c>
    </row>
    <row r="156" spans="1:8" ht="14.5">
      <c r="A156" s="39"/>
      <c r="B156" s="23" t="str">
        <f>VLOOKUP("T6.r.133",Glossary,2,FALSE)</f>
        <v>Sonstige Vermögenswerte</v>
      </c>
      <c r="C156" s="177">
        <f>[4]Differences_Stat_SSTBalance!$G$156</f>
        <v>0</v>
      </c>
      <c r="D156" s="181">
        <f>[5]Differences_Stat_SSTBalance!$F$157</f>
        <v>0</v>
      </c>
      <c r="E156" s="178">
        <f>'[4]SST Balance Sheet'!$F$156</f>
        <v>0</v>
      </c>
      <c r="F156" s="179">
        <f>'[5]SST Balance Sheet'!$E$157</f>
        <v>0</v>
      </c>
      <c r="H156" s="29" t="str">
        <f t="shared" si="5"/>
        <v>No</v>
      </c>
    </row>
    <row r="157" spans="1:8" ht="14.5">
      <c r="A157" s="39"/>
      <c r="C157" s="177"/>
      <c r="D157" s="181"/>
      <c r="E157" s="178"/>
      <c r="F157" s="179"/>
      <c r="H157" s="29" t="s">
        <v>1141</v>
      </c>
    </row>
    <row r="158" spans="1:8" ht="14.5">
      <c r="A158" s="39"/>
      <c r="B158" s="44" t="str">
        <f>VLOOKUP("T6.r.134",Glossary,2,FALSE)</f>
        <v>1.13 Nicht einbezahltes Grundkapital</v>
      </c>
      <c r="C158" s="175">
        <f>[4]Differences_Stat_SSTBalance!$G$158</f>
        <v>0</v>
      </c>
      <c r="D158" s="176">
        <f>[5]Differences_Stat_SSTBalance!$F$159</f>
        <v>0</v>
      </c>
      <c r="E158" s="176">
        <f>'[4]SST Balance Sheet'!$F$158</f>
        <v>0</v>
      </c>
      <c r="F158" s="176">
        <f>'[5]SST Balance Sheet'!$E$159</f>
        <v>0</v>
      </c>
      <c r="H158" s="29" t="str">
        <f t="shared" si="5"/>
        <v>No</v>
      </c>
    </row>
    <row r="159" spans="1:8" ht="14.5">
      <c r="A159" s="39"/>
      <c r="C159" s="177"/>
      <c r="D159" s="181"/>
      <c r="E159" s="178"/>
      <c r="F159" s="179"/>
      <c r="H159" s="29" t="s">
        <v>1141</v>
      </c>
    </row>
    <row r="160" spans="1:8" ht="14.5">
      <c r="A160" s="39"/>
      <c r="B160" s="44" t="str">
        <f>VLOOKUP("T6.r.135",Glossary,2,FALSE)</f>
        <v>1.14 Aktive Rechnungsabgrenzungen</v>
      </c>
      <c r="C160" s="175">
        <f>[4]Differences_Stat_SSTBalance!$G$160</f>
        <v>0</v>
      </c>
      <c r="D160" s="176">
        <f>[5]Differences_Stat_SSTBalance!$F$161</f>
        <v>0</v>
      </c>
      <c r="E160" s="176">
        <f>'[4]SST Balance Sheet'!$F$160</f>
        <v>0</v>
      </c>
      <c r="F160" s="176">
        <f>'[5]SST Balance Sheet'!$E$161</f>
        <v>0</v>
      </c>
      <c r="H160" s="29" t="str">
        <f t="shared" si="5"/>
        <v>No</v>
      </c>
    </row>
    <row r="161" spans="1:8" ht="14.5">
      <c r="A161" s="39"/>
      <c r="B161" s="23" t="str">
        <f>VLOOKUP("T6.r.136",Glossary,2,FALSE)</f>
        <v>Vorausbezahlte Versicherungsleistungen</v>
      </c>
      <c r="C161" s="177">
        <f>[4]Differences_Stat_SSTBalance!$G$161</f>
        <v>0</v>
      </c>
      <c r="D161" s="181">
        <f>[5]Differences_Stat_SSTBalance!$F$162</f>
        <v>0</v>
      </c>
      <c r="E161" s="178">
        <f>'[4]SST Balance Sheet'!$F$161</f>
        <v>0</v>
      </c>
      <c r="F161" s="179">
        <f>'[5]SST Balance Sheet'!$E$162</f>
        <v>0</v>
      </c>
      <c r="H161" s="29" t="str">
        <f t="shared" si="5"/>
        <v>No</v>
      </c>
    </row>
    <row r="162" spans="1:8" ht="14.5">
      <c r="A162" s="39"/>
      <c r="B162" s="23" t="str">
        <f>VLOOKUP("T6.r.137",Glossary,2,FALSE)</f>
        <v>Abgegrenzte Zinsen und Mieten</v>
      </c>
      <c r="C162" s="177">
        <f>[4]Differences_Stat_SSTBalance!$G$162</f>
        <v>0</v>
      </c>
      <c r="D162" s="181">
        <f>[5]Differences_Stat_SSTBalance!$F$163</f>
        <v>0</v>
      </c>
      <c r="E162" s="178">
        <f>'[4]SST Balance Sheet'!$F$162</f>
        <v>0</v>
      </c>
      <c r="F162" s="179">
        <f>'[5]SST Balance Sheet'!$E$163</f>
        <v>0</v>
      </c>
      <c r="H162" s="29" t="str">
        <f t="shared" si="5"/>
        <v>No</v>
      </c>
    </row>
    <row r="163" spans="1:8" ht="14.5">
      <c r="A163" s="39"/>
      <c r="B163" s="23" t="str">
        <f>VLOOKUP("T6.r.138",Glossary,2,FALSE)</f>
        <v>Latente Steuerforderungen</v>
      </c>
      <c r="C163" s="177">
        <f>[4]Differences_Stat_SSTBalance!$G$163</f>
        <v>0</v>
      </c>
      <c r="D163" s="181">
        <f>[5]Differences_Stat_SSTBalance!$F$164</f>
        <v>0</v>
      </c>
      <c r="E163" s="178">
        <f>'[4]SST Balance Sheet'!$F$163</f>
        <v>0</v>
      </c>
      <c r="F163" s="179">
        <f>'[5]SST Balance Sheet'!$E$164</f>
        <v>0</v>
      </c>
      <c r="H163" s="29" t="str">
        <f t="shared" si="5"/>
        <v>No</v>
      </c>
    </row>
    <row r="164" spans="1:8" ht="14.5">
      <c r="A164" s="39"/>
      <c r="B164" s="23" t="str">
        <f>VLOOKUP("T6.r.139",Glossary,2,FALSE)</f>
        <v>Sonstige Rechnungsabgrenzungsposten</v>
      </c>
      <c r="C164" s="177">
        <f>[4]Differences_Stat_SSTBalance!$G$164</f>
        <v>0</v>
      </c>
      <c r="D164" s="181">
        <f>[5]Differences_Stat_SSTBalance!$F$165</f>
        <v>0</v>
      </c>
      <c r="E164" s="178">
        <f>'[4]SST Balance Sheet'!$F$164</f>
        <v>0</v>
      </c>
      <c r="F164" s="179">
        <f>'[5]SST Balance Sheet'!$E$165</f>
        <v>0</v>
      </c>
      <c r="H164" s="29" t="str">
        <f t="shared" si="5"/>
        <v>No</v>
      </c>
    </row>
    <row r="165" spans="1:8" ht="14.5">
      <c r="A165" s="39"/>
      <c r="C165" s="177"/>
      <c r="D165" s="181"/>
      <c r="E165" s="178"/>
      <c r="F165" s="179"/>
      <c r="H165" s="29" t="s">
        <v>1141</v>
      </c>
    </row>
    <row r="166" spans="1:8" ht="14.5">
      <c r="A166" s="39"/>
      <c r="B166" s="23" t="str">
        <f>VLOOKUP("T6.r.140",Glossary,2,FALSE)</f>
        <v>Total übrige Aktiven</v>
      </c>
      <c r="C166" s="177">
        <f>[4]Differences_Stat_SSTBalance!$G$166</f>
        <v>0</v>
      </c>
      <c r="D166" s="181">
        <f>[5]Differences_Stat_SSTBalance!$F$167</f>
        <v>0</v>
      </c>
      <c r="E166" s="178">
        <f>'[4]SST Balance Sheet'!$F$166</f>
        <v>0</v>
      </c>
      <c r="F166" s="179">
        <f>'[5]SST Balance Sheet'!$E$167</f>
        <v>0</v>
      </c>
      <c r="H166" s="29" t="s">
        <v>5</v>
      </c>
    </row>
    <row r="167" spans="1:8" ht="14.5">
      <c r="A167" s="39"/>
      <c r="C167" s="177"/>
      <c r="D167" s="181"/>
      <c r="E167" s="178"/>
      <c r="F167" s="179"/>
      <c r="H167" s="29" t="s">
        <v>1141</v>
      </c>
    </row>
    <row r="168" spans="1:8" ht="14.5">
      <c r="A168" s="39"/>
      <c r="B168" s="44" t="str">
        <f>VLOOKUP("T6.r.141",Glossary,2,FALSE)</f>
        <v>1.15 Total Aktiven</v>
      </c>
      <c r="C168" s="175">
        <f>[4]Differences_Stat_SSTBalance!$G$168</f>
        <v>0</v>
      </c>
      <c r="D168" s="176">
        <f>[5]Differences_Stat_SSTBalance!$F$169</f>
        <v>0</v>
      </c>
      <c r="E168" s="176">
        <f>'[4]SST Balance Sheet'!$F$168</f>
        <v>0</v>
      </c>
      <c r="F168" s="176">
        <f>'[5]SST Balance Sheet'!$E$169</f>
        <v>0</v>
      </c>
      <c r="H168" s="29" t="str">
        <f>IF(AND(C168=0,D168=0,E168=0,F168=0,ISNUMBER(C168)),"No","Yes")</f>
        <v>No</v>
      </c>
    </row>
    <row r="169" spans="1:8" ht="14.5">
      <c r="A169" s="39"/>
      <c r="C169" s="183"/>
      <c r="D169" s="184"/>
      <c r="E169" s="183"/>
      <c r="F169" s="184"/>
      <c r="H169" s="29" t="str">
        <f t="shared" ref="H169:H170" si="6">IF(AND(C169=0,D169=0,E169=0,F169=0,ISNUMBER(C169)),"No","Yes")</f>
        <v>Yes</v>
      </c>
    </row>
    <row r="170" spans="1:8" ht="13">
      <c r="B170" s="41"/>
      <c r="C170" s="42" t="str">
        <f>VLOOKUP("T6.c.1",Glossary!$B$6:$C$410,2,FALSE)</f>
        <v>Statutarische Bilanz</v>
      </c>
      <c r="D170" s="42"/>
      <c r="E170" s="42" t="str">
        <f>VLOOKUP("T6.c.2",Glossary!$B$6:$C$410,2,FALSE)</f>
        <v>SST-Bilanz</v>
      </c>
      <c r="F170" s="42"/>
      <c r="H170" s="29" t="str">
        <f t="shared" si="6"/>
        <v>Yes</v>
      </c>
    </row>
    <row r="171" spans="1:8" ht="14.5">
      <c r="A171" s="39"/>
      <c r="B171" s="41" t="str">
        <f>VLOOKUP("T6.r.142",Glossary,2,FALSE)</f>
        <v>Verbindlichkeiten</v>
      </c>
      <c r="C171" s="43">
        <f>Jahr</f>
        <v>2025</v>
      </c>
      <c r="D171" s="43">
        <f>Jahr-1</f>
        <v>2024</v>
      </c>
      <c r="E171" s="43">
        <f>Jahr</f>
        <v>2025</v>
      </c>
      <c r="F171" s="43">
        <f>Jahr-1</f>
        <v>2024</v>
      </c>
      <c r="H171" s="29" t="str">
        <f t="shared" ref="H171:H202" si="7">IF(AND(C171=0,D171=0,E171=0,F171=0,ISNUMBER(C171)),"No","Yes")</f>
        <v>Yes</v>
      </c>
    </row>
    <row r="172" spans="1:8" ht="14.5">
      <c r="A172" s="157"/>
      <c r="B172" s="156"/>
      <c r="C172" s="159"/>
      <c r="D172" s="159"/>
      <c r="E172" s="159"/>
      <c r="F172" s="159"/>
      <c r="G172" s="24"/>
      <c r="H172" s="29" t="str">
        <f t="shared" si="7"/>
        <v>Yes</v>
      </c>
    </row>
    <row r="173" spans="1:8" ht="14.5">
      <c r="A173" s="39"/>
      <c r="B173" s="44" t="str">
        <f>VLOOKUP("T6.r.143",Glossary,2,FALSE)</f>
        <v>2.1 Bestmöglicher Schätzwert der Versicherungsverpflichtungen</v>
      </c>
      <c r="C173" s="175">
        <f>[4]Differences_Stat_SSTBalance!$G$172</f>
        <v>0</v>
      </c>
      <c r="D173" s="176">
        <f>[5]Differences_Stat_SSTBalance!$F$173</f>
        <v>0</v>
      </c>
      <c r="E173" s="176">
        <f>'[4]SST Balance Sheet'!$F$172</f>
        <v>0</v>
      </c>
      <c r="F173" s="176">
        <f>'[5]SST Balance Sheet'!$E$173</f>
        <v>0</v>
      </c>
      <c r="H173" s="29" t="str">
        <f t="shared" si="7"/>
        <v>No</v>
      </c>
    </row>
    <row r="174" spans="1:8" ht="14.5">
      <c r="A174" s="39"/>
      <c r="B174" s="160" t="str">
        <f>VLOOKUP("T6.r.144",Glossary,2,FALSE)</f>
        <v>Direktversicherung: Lebensversicherungsgeschäft (ohne ALV)</v>
      </c>
      <c r="C174" s="187">
        <f>[4]Differences_Stat_SSTBalance!$G$173</f>
        <v>0</v>
      </c>
      <c r="D174" s="181">
        <f>[5]Differences_Stat_SSTBalance!$F$174</f>
        <v>0</v>
      </c>
      <c r="E174" s="179">
        <f>'[4]SST Balance Sheet'!$F$173</f>
        <v>0</v>
      </c>
      <c r="F174" s="179">
        <f>'[5]SST Balance Sheet'!$E$174</f>
        <v>0</v>
      </c>
      <c r="H174" s="29" t="str">
        <f t="shared" si="7"/>
        <v>No</v>
      </c>
    </row>
    <row r="175" spans="1:8" ht="14.5">
      <c r="A175" s="39"/>
      <c r="B175" s="23" t="str">
        <f>VLOOKUP("T6.r.145",Glossary,2,FALSE)</f>
        <v>Best Estimate der Versicherungsverpflichtungen (Leben): Brutto</v>
      </c>
      <c r="C175" s="187">
        <f>[4]Differences_Stat_SSTBalance!$G$174</f>
        <v>0</v>
      </c>
      <c r="D175" s="181">
        <f>[5]Differences_Stat_SSTBalance!$F$175</f>
        <v>0</v>
      </c>
      <c r="E175" s="179">
        <f>'[4]SST Balance Sheet'!$F$174</f>
        <v>0</v>
      </c>
      <c r="F175" s="179">
        <f>'[5]SST Balance Sheet'!$E$175</f>
        <v>0</v>
      </c>
      <c r="H175" s="29" t="str">
        <f t="shared" si="7"/>
        <v>No</v>
      </c>
    </row>
    <row r="176" spans="1:8" ht="14.5">
      <c r="A176" s="39"/>
      <c r="B176" s="29" t="str">
        <f>VLOOKUP("T6.r.146",Glossary,2,FALSE)</f>
        <v>Einzelgeschäft</v>
      </c>
      <c r="C176" s="187">
        <f>[4]Differences_Stat_SSTBalance!$G$175</f>
        <v>0</v>
      </c>
      <c r="D176" s="181">
        <f>[5]Differences_Stat_SSTBalance!$F$176</f>
        <v>0</v>
      </c>
      <c r="E176" s="179">
        <f>'[4]SST Balance Sheet'!$F$175</f>
        <v>0</v>
      </c>
      <c r="F176" s="179">
        <f>'[5]SST Balance Sheet'!$E$176</f>
        <v>0</v>
      </c>
      <c r="H176" s="29" t="str">
        <f t="shared" si="7"/>
        <v>No</v>
      </c>
    </row>
    <row r="177" spans="1:8" ht="14.5">
      <c r="A177" s="39"/>
      <c r="B177" s="29" t="str">
        <f>VLOOKUP("T6.r.147",Glossary,2,FALSE)</f>
        <v>Kollektivgeschäft</v>
      </c>
      <c r="C177" s="187">
        <f>[4]Differences_Stat_SSTBalance!$G$176</f>
        <v>0</v>
      </c>
      <c r="D177" s="181">
        <f>[5]Differences_Stat_SSTBalance!$F$177</f>
        <v>0</v>
      </c>
      <c r="E177" s="179">
        <f>'[4]SST Balance Sheet'!$F$176</f>
        <v>0</v>
      </c>
      <c r="F177" s="179">
        <f>'[5]SST Balance Sheet'!$E$177</f>
        <v>0</v>
      </c>
      <c r="H177" s="29" t="str">
        <f t="shared" si="7"/>
        <v>No</v>
      </c>
    </row>
    <row r="178" spans="1:8" ht="14.5">
      <c r="A178" s="39"/>
      <c r="B178" s="23" t="str">
        <f>VLOOKUP("T6.r.148",Glossary,2,FALSE)</f>
        <v>Schwankungsrückstellungen und weitere statutarische Rückstellungen (Leben): Brutto</v>
      </c>
      <c r="C178" s="187">
        <f>[4]Differences_Stat_SSTBalance!$G$177</f>
        <v>0</v>
      </c>
      <c r="D178" s="181">
        <f>[5]Differences_Stat_SSTBalance!$F$178</f>
        <v>0</v>
      </c>
      <c r="E178" s="179">
        <f>'[4]SST Balance Sheet'!$F$177</f>
        <v>0</v>
      </c>
      <c r="F178" s="179">
        <f>'[5]SST Balance Sheet'!$E$178</f>
        <v>0</v>
      </c>
      <c r="H178" s="29" t="str">
        <f t="shared" si="7"/>
        <v>No</v>
      </c>
    </row>
    <row r="179" spans="1:8" ht="14.5">
      <c r="A179" s="39"/>
      <c r="B179" s="23" t="str">
        <f>VLOOKUP("T6.r.149",Glossary,2,FALSE)</f>
        <v>Best Estimate der sonstigen Versicherungsverpflichtungen (Leben): Brutto</v>
      </c>
      <c r="C179" s="187">
        <f>[4]Differences_Stat_SSTBalance!$G$178</f>
        <v>0</v>
      </c>
      <c r="D179" s="181">
        <f>[5]Differences_Stat_SSTBalance!$F$179</f>
        <v>0</v>
      </c>
      <c r="E179" s="179">
        <f>'[4]SST Balance Sheet'!$F$178</f>
        <v>0</v>
      </c>
      <c r="F179" s="179">
        <f>'[5]SST Balance Sheet'!$E$179</f>
        <v>0</v>
      </c>
      <c r="H179" s="29" t="str">
        <f t="shared" si="7"/>
        <v>No</v>
      </c>
    </row>
    <row r="180" spans="1:8" ht="14.5">
      <c r="A180" s="39"/>
      <c r="B180" s="29" t="str">
        <f>VLOOKUP("T6.r.150",Glossary,2,FALSE)</f>
        <v>davon Zillmerabschlag (Leben): Brutto</v>
      </c>
      <c r="C180" s="187">
        <f>[4]Differences_Stat_SSTBalance!$G$179</f>
        <v>0</v>
      </c>
      <c r="D180" s="181">
        <f>[5]Differences_Stat_SSTBalance!$F$180</f>
        <v>0</v>
      </c>
      <c r="E180" s="179">
        <f>'[4]SST Balance Sheet'!$F$179</f>
        <v>0</v>
      </c>
      <c r="F180" s="179">
        <f>'[5]SST Balance Sheet'!$E$180</f>
        <v>0</v>
      </c>
      <c r="H180" s="29" t="str">
        <f t="shared" si="7"/>
        <v>No</v>
      </c>
    </row>
    <row r="181" spans="1:8" ht="14.5">
      <c r="A181" s="39"/>
      <c r="B181" s="23" t="str">
        <f>VLOOKUP("T6.r.151",Glossary,2,FALSE)</f>
        <v>Rückstellungen für vertragliche Überschussbeteiligungen (Leben): Brutto</v>
      </c>
      <c r="C181" s="187">
        <f>[4]Differences_Stat_SSTBalance!$G$180</f>
        <v>0</v>
      </c>
      <c r="D181" s="181">
        <f>[5]Differences_Stat_SSTBalance!$F$181</f>
        <v>0</v>
      </c>
      <c r="E181" s="179">
        <f>'[4]SST Balance Sheet'!$F$180</f>
        <v>0</v>
      </c>
      <c r="F181" s="179">
        <f>'[5]SST Balance Sheet'!$E$181</f>
        <v>0</v>
      </c>
      <c r="H181" s="29" t="str">
        <f t="shared" si="7"/>
        <v>No</v>
      </c>
    </row>
    <row r="182" spans="1:8" ht="14.5">
      <c r="A182" s="39"/>
      <c r="B182" s="23" t="str">
        <f>VLOOKUP("T6.r.152",Glossary,2,FALSE)</f>
        <v>Rückstellungen für Überschussfonds (Leben): Brutto</v>
      </c>
      <c r="C182" s="187">
        <f>[4]Differences_Stat_SSTBalance!$G$181</f>
        <v>0</v>
      </c>
      <c r="D182" s="181">
        <f>[5]Differences_Stat_SSTBalance!$F$182</f>
        <v>0</v>
      </c>
      <c r="E182" s="179">
        <f>'[4]SST Balance Sheet'!$F$181</f>
        <v>0</v>
      </c>
      <c r="F182" s="179">
        <f>'[5]SST Balance Sheet'!$E$182</f>
        <v>0</v>
      </c>
      <c r="H182" s="29" t="str">
        <f t="shared" si="7"/>
        <v>No</v>
      </c>
    </row>
    <row r="183" spans="1:8" ht="14.5">
      <c r="A183" s="39"/>
      <c r="B183" s="160" t="str">
        <f>VLOOKUP("T6.r.153",Glossary,2,FALSE)</f>
        <v>Aktive Rückversicherung: Lebensversicherungsgeschäft (ohne ALV)</v>
      </c>
      <c r="C183" s="187">
        <f>[4]Differences_Stat_SSTBalance!$G$182</f>
        <v>0</v>
      </c>
      <c r="D183" s="181">
        <f>[5]Differences_Stat_SSTBalance!$F$183</f>
        <v>0</v>
      </c>
      <c r="E183" s="179">
        <f>'[4]SST Balance Sheet'!$F$182</f>
        <v>0</v>
      </c>
      <c r="F183" s="179">
        <f>'[5]SST Balance Sheet'!$E$183</f>
        <v>0</v>
      </c>
      <c r="H183" s="29" t="str">
        <f t="shared" si="7"/>
        <v>No</v>
      </c>
    </row>
    <row r="184" spans="1:8" ht="14.5">
      <c r="A184" s="39"/>
      <c r="C184" s="187"/>
      <c r="D184" s="181"/>
      <c r="E184" s="179"/>
      <c r="F184" s="179"/>
      <c r="H184" s="29" t="s">
        <v>1141</v>
      </c>
    </row>
    <row r="185" spans="1:8" ht="14.5">
      <c r="A185" s="39"/>
      <c r="B185" s="160" t="str">
        <f>VLOOKUP("T6.r.154",Glossary,2,FALSE)</f>
        <v>Direktversicherung: Schadenversicherungsgeschäft</v>
      </c>
      <c r="C185" s="187">
        <f>[4]Differences_Stat_SSTBalance!$G$184</f>
        <v>0</v>
      </c>
      <c r="D185" s="181">
        <f>[5]Differences_Stat_SSTBalance!$F$185</f>
        <v>0</v>
      </c>
      <c r="E185" s="179">
        <f>'[4]SST Balance Sheet'!$F$184</f>
        <v>0</v>
      </c>
      <c r="F185" s="179">
        <f>'[5]SST Balance Sheet'!$E$185</f>
        <v>0</v>
      </c>
      <c r="H185" s="29" t="str">
        <f t="shared" si="7"/>
        <v>No</v>
      </c>
    </row>
    <row r="186" spans="1:8" ht="14.5">
      <c r="A186" s="39"/>
      <c r="B186" s="23" t="str">
        <f>VLOOKUP("T6.r.155",Glossary,2,FALSE)</f>
        <v>Best Estimate der Versicherungsverpflichtungen (Schaden): Brutto - verdientes Geschäft</v>
      </c>
      <c r="C186" s="187">
        <f>[4]Differences_Stat_SSTBalance!$G$185</f>
        <v>0</v>
      </c>
      <c r="D186" s="161"/>
      <c r="E186" s="179">
        <f>'[4]SST Balance Sheet'!$F$185</f>
        <v>0</v>
      </c>
      <c r="F186" s="161"/>
      <c r="H186" s="29" t="str">
        <f t="shared" si="7"/>
        <v>No</v>
      </c>
    </row>
    <row r="187" spans="1:8" ht="14.5">
      <c r="A187" s="39"/>
      <c r="B187" s="29" t="str">
        <f>VLOOKUP("T6.r.156",Glossary,2,FALSE)</f>
        <v>davon Best Estimate der Verpflichtungen des UVG-Bestandes: Brutto</v>
      </c>
      <c r="C187" s="187">
        <f>[4]Differences_Stat_SSTBalance!$G$186</f>
        <v>0</v>
      </c>
      <c r="D187" s="161"/>
      <c r="E187" s="179">
        <f>'[4]SST Balance Sheet'!$F$186</f>
        <v>0</v>
      </c>
      <c r="F187" s="161"/>
      <c r="H187" s="29" t="str">
        <f t="shared" si="7"/>
        <v>No</v>
      </c>
    </row>
    <row r="188" spans="1:8" ht="14.5">
      <c r="A188" s="39"/>
      <c r="B188" s="23" t="str">
        <f>VLOOKUP("T6.r.157",Glossary,2,FALSE)</f>
        <v>Best Estimate der Versicherungsverpflichtungen (Schaden): Brutto - unverdientes Geschäft</v>
      </c>
      <c r="C188" s="187">
        <f>[4]Differences_Stat_SSTBalance!$G$187</f>
        <v>0</v>
      </c>
      <c r="D188" s="161"/>
      <c r="E188" s="179">
        <f>'[4]SST Balance Sheet'!$F$187</f>
        <v>0</v>
      </c>
      <c r="F188" s="161"/>
      <c r="H188" s="29" t="str">
        <f t="shared" si="7"/>
        <v>No</v>
      </c>
    </row>
    <row r="189" spans="1:8" ht="14.5">
      <c r="A189" s="39"/>
      <c r="B189" s="23" t="str">
        <f>VLOOKUP("T6.r.158",Glossary,2,FALSE)</f>
        <v>Schwankungsrückstellungen und weitere statutarische Rückstellungen (Schaden): Brutto</v>
      </c>
      <c r="C189" s="187">
        <f>[4]Differences_Stat_SSTBalance!$G$188</f>
        <v>0</v>
      </c>
      <c r="D189" s="179">
        <f>[5]Differences_Stat_SSTBalance!$F$188</f>
        <v>0</v>
      </c>
      <c r="E189" s="179">
        <f>'[4]SST Balance Sheet'!$F$188</f>
        <v>0</v>
      </c>
      <c r="F189" s="179">
        <f>'[5]SST Balance Sheet'!$E$188</f>
        <v>0</v>
      </c>
      <c r="H189" s="29" t="str">
        <f t="shared" si="7"/>
        <v>No</v>
      </c>
    </row>
    <row r="190" spans="1:8" ht="14.5">
      <c r="A190" s="39"/>
      <c r="B190" s="23" t="str">
        <f>VLOOKUP("T6.r.159",Glossary,2,FALSE)</f>
        <v>Best Estimate der sonstigen Versicherungsverpflichtungen (Schaden): Brutto</v>
      </c>
      <c r="C190" s="187">
        <f>[4]Differences_Stat_SSTBalance!$G$189</f>
        <v>0</v>
      </c>
      <c r="D190" s="179">
        <f>[5]Differences_Stat_SSTBalance!$F$189</f>
        <v>0</v>
      </c>
      <c r="E190" s="179">
        <f>'[4]SST Balance Sheet'!$F$189</f>
        <v>0</v>
      </c>
      <c r="F190" s="179">
        <f>'[5]SST Balance Sheet'!$E$189</f>
        <v>0</v>
      </c>
      <c r="H190" s="29" t="str">
        <f t="shared" si="7"/>
        <v>No</v>
      </c>
    </row>
    <row r="191" spans="1:8" ht="14.5">
      <c r="A191" s="39"/>
      <c r="B191" s="23" t="str">
        <f>VLOOKUP("T6.r.160",Glossary,2,FALSE)</f>
        <v>Rückstellungen für vertragliche Überschussbeteiligungen (Schaden): Brutto</v>
      </c>
      <c r="C191" s="187">
        <f>[4]Differences_Stat_SSTBalance!$G$190</f>
        <v>0</v>
      </c>
      <c r="D191" s="179">
        <f>[5]Differences_Stat_SSTBalance!$F$190</f>
        <v>0</v>
      </c>
      <c r="E191" s="179">
        <f>'[4]SST Balance Sheet'!$F$190</f>
        <v>0</v>
      </c>
      <c r="F191" s="179">
        <f>'[5]SST Balance Sheet'!$E$190</f>
        <v>0</v>
      </c>
      <c r="H191" s="29" t="str">
        <f t="shared" si="7"/>
        <v>No</v>
      </c>
    </row>
    <row r="192" spans="1:8" ht="14.5">
      <c r="A192" s="39"/>
      <c r="B192" s="23" t="str">
        <f>VLOOKUP("T6.r.161",Glossary,2,FALSE)</f>
        <v>Rückstellungen für Überschussfonds (Schaden): Brutto</v>
      </c>
      <c r="C192" s="187">
        <f>[4]Differences_Stat_SSTBalance!$G$191</f>
        <v>0</v>
      </c>
      <c r="D192" s="179">
        <f>[5]Differences_Stat_SSTBalance!$F$191</f>
        <v>0</v>
      </c>
      <c r="E192" s="179">
        <f>'[4]SST Balance Sheet'!$F$191</f>
        <v>0</v>
      </c>
      <c r="F192" s="179">
        <f>'[5]SST Balance Sheet'!$E$191</f>
        <v>0</v>
      </c>
      <c r="H192" s="29" t="str">
        <f t="shared" si="7"/>
        <v>No</v>
      </c>
    </row>
    <row r="193" spans="1:8" ht="14.5">
      <c r="A193" s="39"/>
      <c r="B193" s="160" t="str">
        <f>VLOOKUP("T6.r.162",Glossary,2,FALSE)</f>
        <v>Aktive Rückversicherung: Schadenversicherungsgeschäft</v>
      </c>
      <c r="C193" s="187">
        <f>[4]Differences_Stat_SSTBalance!$G$192</f>
        <v>0</v>
      </c>
      <c r="D193" s="179">
        <f>[5]Differences_Stat_SSTBalance!$F$192</f>
        <v>0</v>
      </c>
      <c r="E193" s="179">
        <f>'[4]SST Balance Sheet'!$F$192</f>
        <v>0</v>
      </c>
      <c r="F193" s="179">
        <f>'[5]SST Balance Sheet'!$E$192</f>
        <v>0</v>
      </c>
      <c r="H193" s="29" t="str">
        <f t="shared" si="7"/>
        <v>No</v>
      </c>
    </row>
    <row r="194" spans="1:8" ht="14.5">
      <c r="A194" s="39"/>
      <c r="B194" s="23" t="str">
        <f>VLOOKUP("T6.r.163",Glossary,2,FALSE)</f>
        <v>Aktive Rückversicherung: Best Estimate der Versicherungsverpflichtungen (Schaden) - verdientes Geschäft</v>
      </c>
      <c r="C194" s="187">
        <f>[4]Differences_Stat_SSTBalance!$G$193</f>
        <v>0</v>
      </c>
      <c r="D194" s="161"/>
      <c r="E194" s="179">
        <f>'[4]SST Balance Sheet'!$F$193</f>
        <v>0</v>
      </c>
      <c r="F194" s="161"/>
      <c r="H194" s="29" t="str">
        <f t="shared" si="7"/>
        <v>No</v>
      </c>
    </row>
    <row r="195" spans="1:8" ht="14.5">
      <c r="A195" s="39"/>
      <c r="B195" s="23" t="str">
        <f>VLOOKUP("T6.r.164",Glossary,2,FALSE)</f>
        <v>Aktive Rückversicherung: Best Estimate der Versicherungsverpflichtungen (Schaden) - unverdientes Geschäft</v>
      </c>
      <c r="C195" s="187">
        <f>[4]Differences_Stat_SSTBalance!$G$194</f>
        <v>0</v>
      </c>
      <c r="D195" s="161"/>
      <c r="E195" s="179">
        <f>'[4]SST Balance Sheet'!$F$194</f>
        <v>0</v>
      </c>
      <c r="F195" s="161"/>
      <c r="H195" s="29" t="str">
        <f t="shared" si="7"/>
        <v>No</v>
      </c>
    </row>
    <row r="196" spans="1:8" ht="14.5">
      <c r="A196" s="39"/>
      <c r="B196" s="23" t="str">
        <f>VLOOKUP("T6.r.165",Glossary,2,FALSE)</f>
        <v>Aktive Rückversicherung: Best Estimate der sonstigen Versicherungsverpflichtungen (Schaden)</v>
      </c>
      <c r="C196" s="187">
        <f>[4]Differences_Stat_SSTBalance!$G$195</f>
        <v>0</v>
      </c>
      <c r="D196" s="161"/>
      <c r="E196" s="179">
        <f>'[4]SST Balance Sheet'!$F$195</f>
        <v>0</v>
      </c>
      <c r="F196" s="161"/>
      <c r="H196" s="29" t="str">
        <f t="shared" si="7"/>
        <v>No</v>
      </c>
    </row>
    <row r="197" spans="1:8" ht="14.5">
      <c r="A197" s="39"/>
      <c r="C197" s="187"/>
      <c r="D197" s="179"/>
      <c r="E197" s="179"/>
      <c r="F197" s="179"/>
      <c r="H197" s="29" t="s">
        <v>1141</v>
      </c>
    </row>
    <row r="198" spans="1:8" ht="14.5">
      <c r="A198" s="39"/>
      <c r="B198" s="160" t="str">
        <f>VLOOKUP("T6.r.166",Glossary,2,FALSE)</f>
        <v>Direktversicherung: Krankenversicherungsgeschäft</v>
      </c>
      <c r="C198" s="187">
        <f>[4]Differences_Stat_SSTBalance!$G$197</f>
        <v>0</v>
      </c>
      <c r="D198" s="179">
        <f>[5]Differences_Stat_SSTBalance!$F$194</f>
        <v>0</v>
      </c>
      <c r="E198" s="179">
        <f>'[4]SST Balance Sheet'!$F$197</f>
        <v>0</v>
      </c>
      <c r="F198" s="179">
        <f>'[5]SST Balance Sheet'!$E$194</f>
        <v>0</v>
      </c>
      <c r="H198" s="29" t="str">
        <f t="shared" si="7"/>
        <v>No</v>
      </c>
    </row>
    <row r="199" spans="1:8" ht="14.5">
      <c r="A199" s="39"/>
      <c r="B199" s="23" t="str">
        <f>VLOOKUP("T6.r.167",Glossary,2,FALSE)</f>
        <v>Best Estimate der Versicherungsverpflichtungen (Kranken): Brutto - verdientes Geschäft</v>
      </c>
      <c r="C199" s="187">
        <f>[4]Differences_Stat_SSTBalance!$G$198</f>
        <v>0</v>
      </c>
      <c r="D199" s="161"/>
      <c r="E199" s="179">
        <f>'[4]SST Balance Sheet'!$F$198</f>
        <v>0</v>
      </c>
      <c r="F199" s="161"/>
      <c r="H199" s="29" t="str">
        <f t="shared" si="7"/>
        <v>No</v>
      </c>
    </row>
    <row r="200" spans="1:8" ht="14.5">
      <c r="A200" s="39"/>
      <c r="B200" s="29" t="str">
        <f>VLOOKUP("T6.r.168",Glossary,2,FALSE)</f>
        <v>Best Estimate der Versicherungsverpflichtungen Einzelkranken (ADISD02100 - ADISD02400): Brutto</v>
      </c>
      <c r="C200" s="187">
        <f>[4]Differences_Stat_SSTBalance!$G$199</f>
        <v>0</v>
      </c>
      <c r="D200" s="161"/>
      <c r="E200" s="179">
        <f>'[4]SST Balance Sheet'!$F$199</f>
        <v>0</v>
      </c>
      <c r="F200" s="161"/>
      <c r="H200" s="29" t="str">
        <f t="shared" si="7"/>
        <v>No</v>
      </c>
    </row>
    <row r="201" spans="1:8" ht="14.5">
      <c r="A201" s="39"/>
      <c r="B201" s="29" t="str">
        <f>VLOOKUP("T6.r.169",Glossary,2,FALSE)</f>
        <v>Best Estimate der Versicherungsverpflichtungen Kollektivtaggeld (ADISD02500): Brutto</v>
      </c>
      <c r="C201" s="187">
        <f>[4]Differences_Stat_SSTBalance!$G$200</f>
        <v>0</v>
      </c>
      <c r="D201" s="161"/>
      <c r="E201" s="179">
        <f>'[4]SST Balance Sheet'!$F$200</f>
        <v>0</v>
      </c>
      <c r="F201" s="161"/>
      <c r="H201" s="29" t="str">
        <f t="shared" si="7"/>
        <v>No</v>
      </c>
    </row>
    <row r="202" spans="1:8" ht="14.5">
      <c r="A202" s="39"/>
      <c r="B202" s="23" t="str">
        <f>VLOOKUP("T6.r.170",Glossary,2,FALSE)</f>
        <v>Best Estimate der Langzeitverpflichtungen (Kranken) (ADISD02100 - ADISD02400): Brutto</v>
      </c>
      <c r="C202" s="187">
        <f>[4]Differences_Stat_SSTBalance!$G$201</f>
        <v>0</v>
      </c>
      <c r="D202" s="179">
        <f>[5]Differences_Stat_SSTBalance!$F$198</f>
        <v>0</v>
      </c>
      <c r="E202" s="179">
        <f>'[4]SST Balance Sheet'!$F$201</f>
        <v>0</v>
      </c>
      <c r="F202" s="179">
        <f>'[5]SST Balance Sheet'!$E$198</f>
        <v>0</v>
      </c>
      <c r="H202" s="29" t="str">
        <f t="shared" si="7"/>
        <v>No</v>
      </c>
    </row>
    <row r="203" spans="1:8" ht="14.5">
      <c r="A203" s="39"/>
      <c r="B203" s="23" t="str">
        <f>VLOOKUP("T6.r.171",Glossary,2,FALSE)</f>
        <v>Best Estimate des unverdienten Geschäfts Kollektivtaggeld (ADISD02500): Brutto</v>
      </c>
      <c r="C203" s="187">
        <f>[4]Differences_Stat_SSTBalance!$G$202</f>
        <v>0</v>
      </c>
      <c r="D203" s="161"/>
      <c r="E203" s="179">
        <f>'[4]SST Balance Sheet'!$F$202</f>
        <v>0</v>
      </c>
      <c r="F203" s="161"/>
      <c r="H203" s="29" t="str">
        <f t="shared" ref="H203:H233" si="8">IF(AND(C203=0,D203=0,E203=0,F203=0,ISNUMBER(C203)),"No","Yes")</f>
        <v>No</v>
      </c>
    </row>
    <row r="204" spans="1:8" ht="14.5">
      <c r="A204" s="39"/>
      <c r="B204" s="23" t="str">
        <f>VLOOKUP("T6.r.172",Glossary,2,FALSE)</f>
        <v>Schwankungsrückstellungen und weitere statutarische Rückstellungen (Kranken): Brutto</v>
      </c>
      <c r="C204" s="187">
        <f>[4]Differences_Stat_SSTBalance!$G$203</f>
        <v>0</v>
      </c>
      <c r="D204" s="179">
        <f>[5]Differences_Stat_SSTBalance!$F$199</f>
        <v>0</v>
      </c>
      <c r="E204" s="179">
        <f>'[4]SST Balance Sheet'!$F$203</f>
        <v>0</v>
      </c>
      <c r="F204" s="179">
        <f>'[5]SST Balance Sheet'!$E$199</f>
        <v>0</v>
      </c>
      <c r="H204" s="29" t="str">
        <f t="shared" si="8"/>
        <v>No</v>
      </c>
    </row>
    <row r="205" spans="1:8" ht="14.5">
      <c r="A205" s="39"/>
      <c r="B205" s="23" t="str">
        <f>VLOOKUP("T6.r.173",Glossary,2,FALSE)</f>
        <v>Best Estimate der sonstigen Versicherungsverpflichtungen (Kranken): Brutto</v>
      </c>
      <c r="C205" s="187">
        <f>[4]Differences_Stat_SSTBalance!$G$204</f>
        <v>0</v>
      </c>
      <c r="D205" s="179">
        <f>[5]Differences_Stat_SSTBalance!$F$200</f>
        <v>0</v>
      </c>
      <c r="E205" s="179">
        <f>'[4]SST Balance Sheet'!$F$204</f>
        <v>0</v>
      </c>
      <c r="F205" s="179">
        <f>'[5]SST Balance Sheet'!$E$200</f>
        <v>0</v>
      </c>
      <c r="H205" s="29" t="str">
        <f t="shared" si="8"/>
        <v>No</v>
      </c>
    </row>
    <row r="206" spans="1:8" ht="14.5">
      <c r="A206" s="39"/>
      <c r="B206" s="23" t="str">
        <f>VLOOKUP("T6.r.174",Glossary,2,FALSE)</f>
        <v>Rückstellungen für vertragliche Überschussbeteiligungen (Kranken): Brutto</v>
      </c>
      <c r="C206" s="187">
        <f>[4]Differences_Stat_SSTBalance!$G$205</f>
        <v>0</v>
      </c>
      <c r="D206" s="179">
        <f>[5]Differences_Stat_SSTBalance!$F$201</f>
        <v>0</v>
      </c>
      <c r="E206" s="179">
        <f>'[4]SST Balance Sheet'!$F$205</f>
        <v>0</v>
      </c>
      <c r="F206" s="179">
        <f>'[5]SST Balance Sheet'!$E$201</f>
        <v>0</v>
      </c>
      <c r="H206" s="29" t="str">
        <f t="shared" si="8"/>
        <v>No</v>
      </c>
    </row>
    <row r="207" spans="1:8" ht="14.5">
      <c r="A207" s="39"/>
      <c r="B207" s="23" t="str">
        <f>VLOOKUP("T6.r.175",Glossary,2,FALSE)</f>
        <v>Rückstellungen für Überschussfonds (Kranken): Brutto</v>
      </c>
      <c r="C207" s="187">
        <f>[4]Differences_Stat_SSTBalance!$G$206</f>
        <v>0</v>
      </c>
      <c r="D207" s="179">
        <f>[5]Differences_Stat_SSTBalance!$F$202</f>
        <v>0</v>
      </c>
      <c r="E207" s="179">
        <f>'[4]SST Balance Sheet'!$F$206</f>
        <v>0</v>
      </c>
      <c r="F207" s="179">
        <f>'[5]SST Balance Sheet'!$E$202</f>
        <v>0</v>
      </c>
      <c r="H207" s="29" t="str">
        <f t="shared" si="8"/>
        <v>No</v>
      </c>
    </row>
    <row r="208" spans="1:8" ht="14.5">
      <c r="A208" s="39"/>
      <c r="B208" s="160" t="str">
        <f>VLOOKUP("T6.r.176",Glossary,2,FALSE)</f>
        <v>Aktive Rückversicherung: Krankenversicherungsgeschäft</v>
      </c>
      <c r="C208" s="187">
        <f>[4]Differences_Stat_SSTBalance!$G$207</f>
        <v>0</v>
      </c>
      <c r="D208" s="179">
        <f>[5]Differences_Stat_SSTBalance!$F$203</f>
        <v>0</v>
      </c>
      <c r="E208" s="179">
        <f>'[4]SST Balance Sheet'!$F$207</f>
        <v>0</v>
      </c>
      <c r="F208" s="179">
        <f>'[5]SST Balance Sheet'!$E$203</f>
        <v>0</v>
      </c>
      <c r="H208" s="29" t="str">
        <f t="shared" si="8"/>
        <v>No</v>
      </c>
    </row>
    <row r="209" spans="1:11" ht="14.5">
      <c r="A209" s="39"/>
      <c r="C209" s="187"/>
      <c r="D209" s="179"/>
      <c r="E209" s="179"/>
      <c r="F209" s="179"/>
      <c r="H209" s="29" t="s">
        <v>1141</v>
      </c>
    </row>
    <row r="210" spans="1:11" ht="14.5">
      <c r="A210" s="39"/>
      <c r="B210" s="44" t="str">
        <f>VLOOKUP("T6.r.177",Glossary,2,FALSE)</f>
        <v>2.2 Bestmöglicher Schätzwert der Versicherungsverpflichtungen für anteilgebundene Lebensversicherung</v>
      </c>
      <c r="C210" s="175">
        <f>[4]Differences_Stat_SSTBalance!$G$209</f>
        <v>0</v>
      </c>
      <c r="D210" s="176">
        <f>[5]Differences_Stat_SSTBalance!$F$208</f>
        <v>0</v>
      </c>
      <c r="E210" s="176">
        <f>'[4]SST Balance Sheet'!$F$209</f>
        <v>0</v>
      </c>
      <c r="F210" s="176">
        <f>'[5]SST Balance Sheet'!$E$208</f>
        <v>0</v>
      </c>
      <c r="H210" s="29" t="str">
        <f t="shared" si="8"/>
        <v>No</v>
      </c>
    </row>
    <row r="211" spans="1:11" ht="14.5">
      <c r="A211" s="39"/>
      <c r="B211" s="23" t="str">
        <f>VLOOKUP("T6.r.178",Glossary,2,FALSE)</f>
        <v>Fondsanteilgebundene Lebensversicherung (A 2.1 - A 2.3 &amp; A 6.1)</v>
      </c>
      <c r="C211" s="187">
        <f>[4]Differences_Stat_SSTBalance!$G$210</f>
        <v>0</v>
      </c>
      <c r="D211" s="181">
        <f>[5]Differences_Stat_SSTBalance!$F$209</f>
        <v>0</v>
      </c>
      <c r="E211" s="179">
        <f>'[4]SST Balance Sheet'!$F$210</f>
        <v>0</v>
      </c>
      <c r="F211" s="179">
        <f>'[5]SST Balance Sheet'!$E$209</f>
        <v>0</v>
      </c>
      <c r="H211" s="29" t="str">
        <f t="shared" si="8"/>
        <v>No</v>
      </c>
    </row>
    <row r="212" spans="1:11" ht="14.5">
      <c r="A212" s="39"/>
      <c r="B212" s="29" t="str">
        <f>VLOOKUP("T6.r.179",Glossary,2,FALSE)</f>
        <v>davon Optionen und Garantien</v>
      </c>
      <c r="C212" s="187">
        <f>[4]Differences_Stat_SSTBalance!$G$211</f>
        <v>0</v>
      </c>
      <c r="D212" s="181">
        <f>[5]Differences_Stat_SSTBalance!$F$210</f>
        <v>0</v>
      </c>
      <c r="E212" s="179">
        <f>'[4]SST Balance Sheet'!$F$211</f>
        <v>0</v>
      </c>
      <c r="F212" s="179">
        <f>'[5]SST Balance Sheet'!$E$210</f>
        <v>0</v>
      </c>
      <c r="H212" s="29" t="str">
        <f t="shared" si="8"/>
        <v>No</v>
      </c>
    </row>
    <row r="213" spans="1:11" ht="14.5">
      <c r="A213" s="39"/>
      <c r="B213" s="23" t="str">
        <f>VLOOKUP("T6.r.180",Glossary,2,FALSE)</f>
        <v>An interne Anlagebestände oder andere Bezugswerte gebundene Lebensversicherung: Brutto (A 2.4 - A 2.6 &amp; A 6.2)</v>
      </c>
      <c r="C213" s="187">
        <f>[4]Differences_Stat_SSTBalance!$G$212</f>
        <v>0</v>
      </c>
      <c r="D213" s="181">
        <f>[5]Differences_Stat_SSTBalance!$F$211</f>
        <v>0</v>
      </c>
      <c r="E213" s="179">
        <f>'[4]SST Balance Sheet'!$F$212</f>
        <v>0</v>
      </c>
      <c r="F213" s="179">
        <f>'[5]SST Balance Sheet'!$E$211</f>
        <v>0</v>
      </c>
      <c r="H213" s="29" t="str">
        <f t="shared" si="8"/>
        <v>No</v>
      </c>
    </row>
    <row r="214" spans="1:11" ht="14.5">
      <c r="A214" s="39"/>
      <c r="B214" s="29" t="str">
        <f>VLOOKUP("T6.r.181",Glossary,2,FALSE)</f>
        <v>davon Optionen und Garantien</v>
      </c>
      <c r="C214" s="187">
        <f>[4]Differences_Stat_SSTBalance!$G$213</f>
        <v>0</v>
      </c>
      <c r="D214" s="181">
        <f>[5]Differences_Stat_SSTBalance!$F$212</f>
        <v>0</v>
      </c>
      <c r="E214" s="179">
        <f>'[4]SST Balance Sheet'!$F$213</f>
        <v>0</v>
      </c>
      <c r="F214" s="179">
        <f>'[5]SST Balance Sheet'!$E$212</f>
        <v>0</v>
      </c>
      <c r="H214" s="29" t="str">
        <f t="shared" si="8"/>
        <v>No</v>
      </c>
    </row>
    <row r="215" spans="1:11" ht="14.5">
      <c r="A215" s="39"/>
      <c r="B215" s="23" t="str">
        <f>VLOOKUP("T6.r.182",Glossary,2,FALSE)</f>
        <v>Schwankungsrückstellungen für anteilgebundene Lebensversicherungen direktes Geschäft: Brutto</v>
      </c>
      <c r="C215" s="187">
        <f>[4]Differences_Stat_SSTBalance!$G$214</f>
        <v>0</v>
      </c>
      <c r="D215" s="181">
        <f>[5]Differences_Stat_SSTBalance!$F$213</f>
        <v>0</v>
      </c>
      <c r="E215" s="179">
        <f>'[4]SST Balance Sheet'!$F$214</f>
        <v>0</v>
      </c>
      <c r="F215" s="179">
        <f>'[5]SST Balance Sheet'!$E$213</f>
        <v>0</v>
      </c>
      <c r="H215" s="29" t="str">
        <f t="shared" si="8"/>
        <v>No</v>
      </c>
    </row>
    <row r="216" spans="1:11" ht="14.5">
      <c r="A216" s="39"/>
      <c r="B216" s="23" t="str">
        <f>VLOOKUP("T6.r.183",Glossary,2,FALSE)</f>
        <v>Aktive Rückversicherung: Anteilgebundenes Lebensversicherungsgeschäft</v>
      </c>
      <c r="C216" s="187">
        <f>[4]Differences_Stat_SSTBalance!$G$215</f>
        <v>0</v>
      </c>
      <c r="D216" s="181">
        <f>[5]Differences_Stat_SSTBalance!$F$214</f>
        <v>0</v>
      </c>
      <c r="E216" s="179">
        <f>'[4]SST Balance Sheet'!$F$215</f>
        <v>0</v>
      </c>
      <c r="F216" s="179">
        <f>'[5]SST Balance Sheet'!$E$214</f>
        <v>0</v>
      </c>
      <c r="H216" s="29" t="str">
        <f t="shared" si="8"/>
        <v>No</v>
      </c>
    </row>
    <row r="217" spans="1:11" ht="14.5">
      <c r="A217" s="39"/>
      <c r="B217" s="117"/>
      <c r="C217" s="187"/>
      <c r="D217" s="181"/>
      <c r="E217" s="179"/>
      <c r="F217" s="179"/>
      <c r="G217" s="24"/>
      <c r="H217" s="29" t="s">
        <v>1141</v>
      </c>
      <c r="I217" s="24"/>
      <c r="J217" s="24"/>
      <c r="K217" s="24"/>
    </row>
    <row r="218" spans="1:11" ht="14.5">
      <c r="A218" s="39"/>
      <c r="B218" s="44" t="str">
        <f>VLOOKUP("T6.r.184",Glossary,2,FALSE)</f>
        <v>Mindestbetrag</v>
      </c>
      <c r="C218" s="175">
        <f>[4]Differences_Stat_SSTBalance!$G$217</f>
        <v>0</v>
      </c>
      <c r="D218" s="176">
        <f>[5]Differences_Stat_SSTBalance!$F$216</f>
        <v>0</v>
      </c>
      <c r="E218" s="176">
        <f>'[4]SST Balance Sheet'!$F$217</f>
        <v>0</v>
      </c>
      <c r="F218" s="176">
        <f>'[5]SST Balance Sheet'!$E$216</f>
        <v>0</v>
      </c>
      <c r="H218" s="29" t="str">
        <f t="shared" si="8"/>
        <v>No</v>
      </c>
      <c r="J218" s="24"/>
      <c r="K218" s="24"/>
    </row>
    <row r="219" spans="1:11" ht="14.5">
      <c r="A219" s="39"/>
      <c r="C219" s="187"/>
      <c r="D219" s="181"/>
      <c r="E219" s="179"/>
      <c r="F219" s="179"/>
      <c r="H219" s="29" t="s">
        <v>1141</v>
      </c>
      <c r="J219" s="24"/>
      <c r="K219" s="24"/>
    </row>
    <row r="220" spans="1:11" ht="14.5">
      <c r="A220" s="39"/>
      <c r="B220" s="44" t="str">
        <f>VLOOKUP("T6.r.185",Glossary,2,FALSE)</f>
        <v>2.3 Nichtversicherungstechnische Rückstellungen</v>
      </c>
      <c r="C220" s="175">
        <f>[4]Differences_Stat_SSTBalance!$G$219</f>
        <v>0</v>
      </c>
      <c r="D220" s="176">
        <f>[5]Differences_Stat_SSTBalance!$F$218</f>
        <v>0</v>
      </c>
      <c r="E220" s="176">
        <f>'[4]SST Balance Sheet'!$F$219</f>
        <v>0</v>
      </c>
      <c r="F220" s="176">
        <f>'[5]SST Balance Sheet'!$E$218</f>
        <v>0</v>
      </c>
      <c r="H220" s="29" t="str">
        <f t="shared" si="8"/>
        <v>No</v>
      </c>
      <c r="J220" s="24"/>
      <c r="K220" s="24"/>
    </row>
    <row r="221" spans="1:11" ht="14.5">
      <c r="A221" s="39"/>
      <c r="B221" s="23" t="str">
        <f>VLOOKUP("T6.r.186",Glossary,2,FALSE)</f>
        <v>Rückstellungen für Personalvorsorge</v>
      </c>
      <c r="C221" s="187">
        <f>[4]Differences_Stat_SSTBalance!$G$220</f>
        <v>0</v>
      </c>
      <c r="D221" s="181">
        <f>[5]Differences_Stat_SSTBalance!$F$219</f>
        <v>0</v>
      </c>
      <c r="E221" s="179">
        <f>'[4]SST Balance Sheet'!$F$220</f>
        <v>0</v>
      </c>
      <c r="F221" s="179">
        <f>'[5]SST Balance Sheet'!$E$219</f>
        <v>0</v>
      </c>
      <c r="H221" s="29" t="str">
        <f t="shared" si="8"/>
        <v>No</v>
      </c>
      <c r="J221" s="24"/>
      <c r="K221" s="24"/>
    </row>
    <row r="222" spans="1:11" ht="14.5">
      <c r="A222" s="39"/>
      <c r="B222" s="23" t="str">
        <f>VLOOKUP("T6.r.187",Glossary,2,FALSE)</f>
        <v xml:space="preserve">Finanzielle Rückstellungen </v>
      </c>
      <c r="C222" s="187">
        <f>[4]Differences_Stat_SSTBalance!$G$221</f>
        <v>0</v>
      </c>
      <c r="D222" s="181">
        <f>[5]Differences_Stat_SSTBalance!$F$220</f>
        <v>0</v>
      </c>
      <c r="E222" s="179">
        <f>'[4]SST Balance Sheet'!$F$221</f>
        <v>0</v>
      </c>
      <c r="F222" s="179">
        <f>'[5]SST Balance Sheet'!$E$220</f>
        <v>0</v>
      </c>
      <c r="H222" s="29" t="str">
        <f t="shared" si="8"/>
        <v>No</v>
      </c>
      <c r="J222" s="24"/>
      <c r="K222" s="24"/>
    </row>
    <row r="223" spans="1:11" ht="14.5">
      <c r="A223" s="39"/>
      <c r="B223" s="23" t="str">
        <f>VLOOKUP("T6.r.188",Glossary,2,FALSE)</f>
        <v xml:space="preserve">Sonstige Rückstellungen </v>
      </c>
      <c r="C223" s="187">
        <f>[4]Differences_Stat_SSTBalance!$G$222</f>
        <v>0</v>
      </c>
      <c r="D223" s="181">
        <f>[5]Differences_Stat_SSTBalance!$F$221</f>
        <v>0</v>
      </c>
      <c r="E223" s="179">
        <f>'[4]SST Balance Sheet'!$F$222</f>
        <v>0</v>
      </c>
      <c r="F223" s="179">
        <f>'[5]SST Balance Sheet'!$E$221</f>
        <v>0</v>
      </c>
      <c r="H223" s="29" t="str">
        <f t="shared" si="8"/>
        <v>No</v>
      </c>
      <c r="J223" s="24"/>
      <c r="K223" s="24"/>
    </row>
    <row r="224" spans="1:11" ht="14.5">
      <c r="A224" s="39"/>
      <c r="C224" s="187"/>
      <c r="D224" s="181"/>
      <c r="E224" s="179"/>
      <c r="F224" s="179"/>
      <c r="H224" s="29" t="s">
        <v>1141</v>
      </c>
      <c r="J224" s="24"/>
      <c r="K224" s="24"/>
    </row>
    <row r="225" spans="1:11" ht="14.5">
      <c r="A225" s="39"/>
      <c r="B225" s="44" t="str">
        <f>VLOOKUP("T6.r.189",Glossary,2,FALSE)</f>
        <v>2.4 Verzinsliche Verbindlichkeiten</v>
      </c>
      <c r="C225" s="175">
        <f>[4]Differences_Stat_SSTBalance!$G$224</f>
        <v>0</v>
      </c>
      <c r="D225" s="176">
        <f>[5]Differences_Stat_SSTBalance!$F$223</f>
        <v>0</v>
      </c>
      <c r="E225" s="176">
        <f>'[4]SST Balance Sheet'!$F$224</f>
        <v>0</v>
      </c>
      <c r="F225" s="176">
        <f>'[5]SST Balance Sheet'!$E$223</f>
        <v>0</v>
      </c>
      <c r="H225" s="29" t="str">
        <f t="shared" si="8"/>
        <v>No</v>
      </c>
      <c r="J225" s="24"/>
      <c r="K225" s="24"/>
    </row>
    <row r="226" spans="1:11" ht="14.5">
      <c r="A226" s="39"/>
      <c r="C226" s="187"/>
      <c r="D226" s="181"/>
      <c r="E226" s="179"/>
      <c r="F226" s="179"/>
      <c r="H226" s="29" t="s">
        <v>1141</v>
      </c>
      <c r="J226" s="24"/>
      <c r="K226" s="24"/>
    </row>
    <row r="227" spans="1:11" ht="14.5">
      <c r="A227" s="39"/>
      <c r="B227" s="44" t="str">
        <f>VLOOKUP("T6.r.190",Glossary,2,FALSE)</f>
        <v>2.5. Verbindlichkeiten aus derivativen Finanzinstrumenten</v>
      </c>
      <c r="C227" s="175">
        <f>[4]Differences_Stat_SSTBalance!$G$226</f>
        <v>0</v>
      </c>
      <c r="D227" s="176">
        <f>[5]Differences_Stat_SSTBalance!$F$225</f>
        <v>0</v>
      </c>
      <c r="E227" s="176">
        <f>'[4]SST Balance Sheet'!$F$226</f>
        <v>0</v>
      </c>
      <c r="F227" s="176">
        <f>'[5]SST Balance Sheet'!$E$225</f>
        <v>0</v>
      </c>
      <c r="H227" s="29" t="str">
        <f t="shared" si="8"/>
        <v>No</v>
      </c>
      <c r="J227" s="24"/>
      <c r="K227" s="24"/>
    </row>
    <row r="228" spans="1:11" ht="14.5">
      <c r="A228" s="39"/>
      <c r="B228" s="23" t="str">
        <f>VLOOKUP("T6.r.191",Glossary,2,FALSE)</f>
        <v>Zinsrisikobezogene Instrumente</v>
      </c>
      <c r="C228" s="187">
        <f>[4]Differences_Stat_SSTBalance!$G$227</f>
        <v>0</v>
      </c>
      <c r="D228" s="181">
        <f>[5]Differences_Stat_SSTBalance!$F$226</f>
        <v>0</v>
      </c>
      <c r="E228" s="179">
        <f>'[4]SST Balance Sheet'!$F$227</f>
        <v>0</v>
      </c>
      <c r="F228" s="179">
        <f>'[5]SST Balance Sheet'!$E$226</f>
        <v>0</v>
      </c>
      <c r="H228" s="29" t="str">
        <f t="shared" si="8"/>
        <v>No</v>
      </c>
      <c r="J228" s="24"/>
      <c r="K228" s="24"/>
    </row>
    <row r="229" spans="1:11" ht="14.5">
      <c r="A229" s="39"/>
      <c r="B229" s="23" t="str">
        <f>VLOOKUP("T6.r.192",Glossary,2,FALSE)</f>
        <v>Währungsrisikobezogene Instrumente</v>
      </c>
      <c r="C229" s="187">
        <f>[4]Differences_Stat_SSTBalance!$G$228</f>
        <v>0</v>
      </c>
      <c r="D229" s="181">
        <f>[5]Differences_Stat_SSTBalance!$F$227</f>
        <v>0</v>
      </c>
      <c r="E229" s="179">
        <f>'[4]SST Balance Sheet'!$F$228</f>
        <v>0</v>
      </c>
      <c r="F229" s="179">
        <f>'[5]SST Balance Sheet'!$E$227</f>
        <v>0</v>
      </c>
      <c r="H229" s="29" t="str">
        <f t="shared" si="8"/>
        <v>No</v>
      </c>
      <c r="J229" s="24"/>
      <c r="K229" s="24"/>
    </row>
    <row r="230" spans="1:11" ht="14.5">
      <c r="A230" s="39"/>
      <c r="B230" s="23" t="str">
        <f>VLOOKUP("T6.r.193",Glossary,2,FALSE)</f>
        <v>(Aktien-)Marktrisikobezogene Instrumente</v>
      </c>
      <c r="C230" s="187">
        <f>[4]Differences_Stat_SSTBalance!$G$229</f>
        <v>0</v>
      </c>
      <c r="D230" s="181">
        <f>[5]Differences_Stat_SSTBalance!$F$228</f>
        <v>0</v>
      </c>
      <c r="E230" s="179">
        <f>'[4]SST Balance Sheet'!$F$229</f>
        <v>0</v>
      </c>
      <c r="F230" s="179">
        <f>'[5]SST Balance Sheet'!$E$228</f>
        <v>0</v>
      </c>
      <c r="H230" s="29" t="str">
        <f t="shared" si="8"/>
        <v>No</v>
      </c>
      <c r="J230" s="24"/>
      <c r="K230" s="24"/>
    </row>
    <row r="231" spans="1:11" ht="14.5">
      <c r="A231" s="39"/>
      <c r="B231" s="23" t="str">
        <f>VLOOKUP("T6.r.194",Glossary,2,FALSE)</f>
        <v>Kreditrisikobezogene Instrumente</v>
      </c>
      <c r="C231" s="187">
        <f>[4]Differences_Stat_SSTBalance!$G$230</f>
        <v>0</v>
      </c>
      <c r="D231" s="181">
        <f>[5]Differences_Stat_SSTBalance!$F$229</f>
        <v>0</v>
      </c>
      <c r="E231" s="179">
        <f>'[4]SST Balance Sheet'!$F$230</f>
        <v>0</v>
      </c>
      <c r="F231" s="179">
        <f>'[5]SST Balance Sheet'!$E$229</f>
        <v>0</v>
      </c>
      <c r="H231" s="29" t="str">
        <f t="shared" si="8"/>
        <v>No</v>
      </c>
      <c r="J231" s="24"/>
      <c r="K231" s="24"/>
    </row>
    <row r="232" spans="1:11" ht="14.5">
      <c r="A232" s="39"/>
      <c r="B232" s="23" t="str">
        <f>VLOOKUP("T6.r.195",Glossary,2,FALSE)</f>
        <v>Versicherungsbezogene Instrumente (z.B. Cat Derivate)</v>
      </c>
      <c r="C232" s="187">
        <f>[4]Differences_Stat_SSTBalance!$G$231</f>
        <v>0</v>
      </c>
      <c r="D232" s="181">
        <f>[5]Differences_Stat_SSTBalance!$F$230</f>
        <v>0</v>
      </c>
      <c r="E232" s="179">
        <f>'[4]SST Balance Sheet'!$F$231</f>
        <v>0</v>
      </c>
      <c r="F232" s="179">
        <f>'[5]SST Balance Sheet'!$E$230</f>
        <v>0</v>
      </c>
      <c r="H232" s="29" t="str">
        <f t="shared" si="8"/>
        <v>No</v>
      </c>
      <c r="J232" s="24"/>
      <c r="K232" s="24"/>
    </row>
    <row r="233" spans="1:11" ht="14.5">
      <c r="A233" s="39"/>
      <c r="B233" s="23" t="str">
        <f>VLOOKUP("T6.r.196",Glossary,2,FALSE)</f>
        <v>Übrige derivative Instrumente</v>
      </c>
      <c r="C233" s="187">
        <f>[4]Differences_Stat_SSTBalance!$G$232</f>
        <v>0</v>
      </c>
      <c r="D233" s="181">
        <f>[5]Differences_Stat_SSTBalance!$F$231</f>
        <v>0</v>
      </c>
      <c r="E233" s="179">
        <f>'[4]SST Balance Sheet'!$F$232</f>
        <v>0</v>
      </c>
      <c r="F233" s="179">
        <f>'[5]SST Balance Sheet'!$E$231</f>
        <v>0</v>
      </c>
      <c r="H233" s="29" t="str">
        <f t="shared" si="8"/>
        <v>No</v>
      </c>
      <c r="J233" s="24"/>
      <c r="K233" s="24"/>
    </row>
    <row r="234" spans="1:11" ht="14.5">
      <c r="A234" s="39"/>
      <c r="C234" s="187"/>
      <c r="D234" s="181"/>
      <c r="E234" s="179"/>
      <c r="F234" s="179"/>
      <c r="H234" s="29" t="s">
        <v>1141</v>
      </c>
      <c r="J234" s="24"/>
      <c r="K234" s="24"/>
    </row>
    <row r="235" spans="1:11" ht="14.5">
      <c r="A235" s="39"/>
      <c r="B235" s="44" t="str">
        <f>VLOOKUP("T6.r.197",Glossary,2,FALSE)</f>
        <v>2.6 Depotverbindlichkeiten aus abgegebener Rückversicherung</v>
      </c>
      <c r="C235" s="175">
        <f>[4]Differences_Stat_SSTBalance!$G$234</f>
        <v>0</v>
      </c>
      <c r="D235" s="176">
        <f>[5]Differences_Stat_SSTBalance!$F$233</f>
        <v>0</v>
      </c>
      <c r="E235" s="176">
        <f>'[4]SST Balance Sheet'!$F$234</f>
        <v>0</v>
      </c>
      <c r="F235" s="176">
        <f>'[5]SST Balance Sheet'!$E$233</f>
        <v>0</v>
      </c>
      <c r="H235" s="29" t="str">
        <f t="shared" ref="H235:H241" si="9">IF(AND(C235=0,D235=0,E235=0,F235=0,ISNUMBER(C235)),"No","Yes")</f>
        <v>No</v>
      </c>
      <c r="J235" s="24"/>
      <c r="K235" s="24"/>
    </row>
    <row r="236" spans="1:11" ht="14.5">
      <c r="A236" s="39"/>
      <c r="C236" s="187"/>
      <c r="D236" s="181"/>
      <c r="E236" s="179"/>
      <c r="F236" s="179"/>
      <c r="H236" s="29" t="s">
        <v>1141</v>
      </c>
      <c r="J236" s="24"/>
      <c r="K236" s="24"/>
    </row>
    <row r="237" spans="1:11" ht="14.5">
      <c r="A237" s="39"/>
      <c r="B237" s="44" t="str">
        <f>VLOOKUP("T6.r.198",Glossary,2,FALSE)</f>
        <v>2.7 Verbindlichkeiten aus dem Versicherungsgeschäft</v>
      </c>
      <c r="C237" s="175">
        <f>[4]Differences_Stat_SSTBalance!$G$236</f>
        <v>0</v>
      </c>
      <c r="D237" s="176">
        <f>[5]Differences_Stat_SSTBalance!$F$235</f>
        <v>0</v>
      </c>
      <c r="E237" s="176">
        <f>'[4]SST Balance Sheet'!$F$236</f>
        <v>0</v>
      </c>
      <c r="F237" s="176">
        <f>'[5]SST Balance Sheet'!$E$235</f>
        <v>0</v>
      </c>
      <c r="H237" s="29" t="str">
        <f t="shared" si="9"/>
        <v>No</v>
      </c>
      <c r="J237" s="24"/>
      <c r="K237" s="24"/>
    </row>
    <row r="238" spans="1:11" ht="14.5">
      <c r="A238" s="39"/>
      <c r="B238" s="23" t="str">
        <f>VLOOKUP("T6.r.199",Glossary,2,FALSE)</f>
        <v>Sonstige Depotverbindlichkeiten</v>
      </c>
      <c r="C238" s="187">
        <f>[4]Differences_Stat_SSTBalance!$G$237</f>
        <v>0</v>
      </c>
      <c r="D238" s="181">
        <f>[5]Differences_Stat_SSTBalance!$F$236</f>
        <v>0</v>
      </c>
      <c r="E238" s="179">
        <f>'[4]SST Balance Sheet'!$F$237</f>
        <v>0</v>
      </c>
      <c r="F238" s="179">
        <f>'[5]SST Balance Sheet'!$E$236</f>
        <v>0</v>
      </c>
      <c r="H238" s="29" t="str">
        <f t="shared" si="9"/>
        <v>No</v>
      </c>
      <c r="J238" s="24"/>
      <c r="K238" s="24"/>
    </row>
    <row r="239" spans="1:11" ht="14.5">
      <c r="A239" s="39"/>
      <c r="B239" s="23" t="str">
        <f>VLOOKUP("T6.r.200",Glossary,2,FALSE)</f>
        <v>Sonstige Verbindlichkeiten aus dem Versicherungsgeschäft</v>
      </c>
      <c r="C239" s="187">
        <f>[4]Differences_Stat_SSTBalance!$G$238</f>
        <v>0</v>
      </c>
      <c r="D239" s="181">
        <f>[5]Differences_Stat_SSTBalance!$F$237</f>
        <v>0</v>
      </c>
      <c r="E239" s="179">
        <f>'[4]SST Balance Sheet'!$F$238</f>
        <v>0</v>
      </c>
      <c r="F239" s="179">
        <f>'[5]SST Balance Sheet'!$E$237</f>
        <v>0</v>
      </c>
      <c r="H239" s="29" t="str">
        <f t="shared" si="9"/>
        <v>No</v>
      </c>
      <c r="J239" s="24"/>
      <c r="K239" s="24"/>
    </row>
    <row r="240" spans="1:11" ht="14.5">
      <c r="A240" s="39"/>
      <c r="C240" s="187"/>
      <c r="D240" s="181"/>
      <c r="E240" s="179"/>
      <c r="F240" s="179"/>
      <c r="H240" s="29" t="s">
        <v>1141</v>
      </c>
      <c r="J240" s="24"/>
      <c r="K240" s="24"/>
    </row>
    <row r="241" spans="1:11" ht="14.5">
      <c r="A241" s="39"/>
      <c r="B241" s="44" t="str">
        <f>VLOOKUP("T6.r.201",Glossary,2,FALSE)</f>
        <v>2.8 Sonstige Passiven</v>
      </c>
      <c r="C241" s="175">
        <f>[4]Differences_Stat_SSTBalance!$G$240</f>
        <v>0</v>
      </c>
      <c r="D241" s="176">
        <f>[5]Differences_Stat_SSTBalance!$F$239</f>
        <v>0</v>
      </c>
      <c r="E241" s="176">
        <f>'[4]SST Balance Sheet'!$F$240</f>
        <v>0</v>
      </c>
      <c r="F241" s="176">
        <f>'[5]SST Balance Sheet'!$E$239</f>
        <v>0</v>
      </c>
      <c r="H241" s="29" t="str">
        <f t="shared" si="9"/>
        <v>No</v>
      </c>
      <c r="J241" s="24"/>
      <c r="K241" s="24"/>
    </row>
    <row r="242" spans="1:11" ht="14.5">
      <c r="A242" s="39"/>
      <c r="B242" s="23" t="str">
        <f>VLOOKUP("T6.r.202",Glossary,2,FALSE)</f>
        <v>Gegebene Garantien, Bürgschaften</v>
      </c>
      <c r="C242" s="187">
        <f>[4]Differences_Stat_SSTBalance!$G$241</f>
        <v>0</v>
      </c>
      <c r="D242" s="181">
        <f>[5]Differences_Stat_SSTBalance!$F$240</f>
        <v>0</v>
      </c>
      <c r="E242" s="179">
        <f>'[4]SST Balance Sheet'!$F$241</f>
        <v>0</v>
      </c>
      <c r="F242" s="179">
        <f>'[5]SST Balance Sheet'!$E$240</f>
        <v>0</v>
      </c>
      <c r="H242" s="29" t="str">
        <f t="shared" ref="H242:H264" si="10">IF(AND(C242=0,D242=0,E242=0,F242=0,ISNUMBER(C242)),"No","Yes")</f>
        <v>No</v>
      </c>
      <c r="J242" s="24"/>
      <c r="K242" s="24"/>
    </row>
    <row r="243" spans="1:11" ht="14.5">
      <c r="A243" s="39"/>
      <c r="B243" s="23" t="str">
        <f>VLOOKUP("T6.r.203",Glossary,2,FALSE)</f>
        <v>Sonstige Verbindlichkeiten</v>
      </c>
      <c r="C243" s="187">
        <f>[4]Differences_Stat_SSTBalance!$G$242</f>
        <v>0</v>
      </c>
      <c r="D243" s="181">
        <f>[5]Differences_Stat_SSTBalance!$F$241</f>
        <v>0</v>
      </c>
      <c r="E243" s="179">
        <f>'[4]SST Balance Sheet'!$F$242</f>
        <v>0</v>
      </c>
      <c r="F243" s="179">
        <f>'[5]SST Balance Sheet'!$E$241</f>
        <v>0</v>
      </c>
      <c r="H243" s="29" t="str">
        <f t="shared" si="10"/>
        <v>No</v>
      </c>
      <c r="J243" s="24"/>
      <c r="K243" s="24"/>
    </row>
    <row r="244" spans="1:11" ht="14.5">
      <c r="A244" s="39"/>
      <c r="C244" s="187"/>
      <c r="D244" s="181"/>
      <c r="E244" s="179"/>
      <c r="F244" s="179"/>
      <c r="H244" s="29" t="s">
        <v>1141</v>
      </c>
      <c r="J244" s="24"/>
      <c r="K244" s="24"/>
    </row>
    <row r="245" spans="1:11" ht="14.5">
      <c r="A245" s="39"/>
      <c r="B245" s="44" t="str">
        <f>VLOOKUP("T6.r.204",Glossary,2,FALSE)</f>
        <v>2.9. Passive Rechnungsabgrenzungen</v>
      </c>
      <c r="C245" s="175">
        <f>[4]Differences_Stat_SSTBalance!$G$244</f>
        <v>0</v>
      </c>
      <c r="D245" s="176">
        <f>[5]Differences_Stat_SSTBalance!$F$243</f>
        <v>0</v>
      </c>
      <c r="E245" s="176">
        <f>'[4]SST Balance Sheet'!$F$244</f>
        <v>0</v>
      </c>
      <c r="F245" s="176">
        <f>'[5]SST Balance Sheet'!$E$243</f>
        <v>0</v>
      </c>
      <c r="H245" s="29" t="str">
        <f t="shared" si="10"/>
        <v>No</v>
      </c>
      <c r="J245" s="24"/>
      <c r="K245" s="24"/>
    </row>
    <row r="246" spans="1:11" ht="14.5">
      <c r="A246" s="39"/>
      <c r="B246" s="23" t="str">
        <f>VLOOKUP("T6.r.205",Glossary,2,FALSE)</f>
        <v>Latente Steuerverpflichtungen</v>
      </c>
      <c r="C246" s="187">
        <f>[4]Differences_Stat_SSTBalance!$G$245</f>
        <v>0</v>
      </c>
      <c r="D246" s="181">
        <f>[5]Differences_Stat_SSTBalance!$F$244</f>
        <v>0</v>
      </c>
      <c r="E246" s="179">
        <f>'[4]SST Balance Sheet'!$F$245</f>
        <v>0</v>
      </c>
      <c r="F246" s="179">
        <f>'[5]SST Balance Sheet'!$E$244</f>
        <v>0</v>
      </c>
      <c r="H246" s="29" t="str">
        <f t="shared" si="10"/>
        <v>No</v>
      </c>
      <c r="J246" s="24"/>
      <c r="K246" s="24"/>
    </row>
    <row r="247" spans="1:11" ht="14.5">
      <c r="A247" s="39"/>
      <c r="B247" s="23" t="str">
        <f>VLOOKUP("T6.r.206",Glossary,2,FALSE)</f>
        <v>Sonstige Rechnungsabgrenzungsposten</v>
      </c>
      <c r="C247" s="187">
        <f>[4]Differences_Stat_SSTBalance!$G$246</f>
        <v>0</v>
      </c>
      <c r="D247" s="181">
        <f>[5]Differences_Stat_SSTBalance!$F$245</f>
        <v>0</v>
      </c>
      <c r="E247" s="179">
        <f>'[4]SST Balance Sheet'!$F$246</f>
        <v>0</v>
      </c>
      <c r="F247" s="179">
        <f>'[5]SST Balance Sheet'!$E$245</f>
        <v>0</v>
      </c>
      <c r="H247" s="29" t="str">
        <f t="shared" si="10"/>
        <v>No</v>
      </c>
      <c r="J247" s="24"/>
      <c r="K247" s="24"/>
    </row>
    <row r="248" spans="1:11" ht="14.5">
      <c r="A248" s="39"/>
      <c r="C248" s="187"/>
      <c r="D248" s="181"/>
      <c r="E248" s="179"/>
      <c r="F248" s="179"/>
      <c r="H248" s="29" t="s">
        <v>1141</v>
      </c>
      <c r="J248" s="24"/>
      <c r="K248" s="24"/>
    </row>
    <row r="249" spans="1:11" ht="14.5">
      <c r="A249" s="39"/>
      <c r="B249" s="44" t="str">
        <f>VLOOKUP("T6.r.207",Glossary,2,FALSE)</f>
        <v>2.10 Nachrangige Verbindlichkeiten</v>
      </c>
      <c r="C249" s="175">
        <f>[4]Differences_Stat_SSTBalance!$G$248</f>
        <v>0</v>
      </c>
      <c r="D249" s="176">
        <f>[5]Differences_Stat_SSTBalance!$F$247</f>
        <v>0</v>
      </c>
      <c r="E249" s="176">
        <f>'[4]SST Balance Sheet'!$F$248</f>
        <v>0</v>
      </c>
      <c r="F249" s="176">
        <f>'[5]SST Balance Sheet'!$E$247</f>
        <v>0</v>
      </c>
      <c r="H249" s="29" t="str">
        <f t="shared" si="10"/>
        <v>No</v>
      </c>
      <c r="J249" s="24"/>
      <c r="K249" s="24"/>
    </row>
    <row r="250" spans="1:11" ht="14.5">
      <c r="A250" s="39"/>
      <c r="B250" s="23" t="str">
        <f>VLOOKUP("T6.r.208",Glossary,2,FALSE)</f>
        <v>Unbefristete nachrangige Verbindlichkeiten (ohne Abschreibungs- und Wandlungscharakter)</v>
      </c>
      <c r="C250" s="187">
        <f>[4]Differences_Stat_SSTBalance!$G$249</f>
        <v>0</v>
      </c>
      <c r="D250" s="161"/>
      <c r="E250" s="179">
        <f>'[4]SST Balance Sheet'!$F$249</f>
        <v>0</v>
      </c>
      <c r="F250" s="161"/>
      <c r="H250" s="29" t="str">
        <f t="shared" si="10"/>
        <v>No</v>
      </c>
      <c r="J250" s="24"/>
      <c r="K250" s="24"/>
    </row>
    <row r="251" spans="1:11" ht="14.5">
      <c r="A251" s="39"/>
      <c r="B251" s="29" t="str">
        <f>VLOOKUP("T6.r.209",Glossary,2,FALSE)</f>
        <v>Tier 2-RAK - im SST angerechnet</v>
      </c>
      <c r="C251" s="187">
        <f>[4]Differences_Stat_SSTBalance!$G$250</f>
        <v>0</v>
      </c>
      <c r="D251" s="161"/>
      <c r="E251" s="179">
        <f>'[4]SST Balance Sheet'!$F$250</f>
        <v>0</v>
      </c>
      <c r="F251" s="161"/>
      <c r="H251" s="29" t="str">
        <f t="shared" si="10"/>
        <v>No</v>
      </c>
      <c r="J251" s="24"/>
      <c r="K251" s="24"/>
    </row>
    <row r="252" spans="1:11" ht="14.5">
      <c r="A252" s="39"/>
      <c r="B252" s="29" t="str">
        <f>VLOOKUP("T6.r.210",Glossary,2,FALSE)</f>
        <v>Tier 2-RAK - im SST nicht angerechnet</v>
      </c>
      <c r="C252" s="187">
        <f>[4]Differences_Stat_SSTBalance!$G$251</f>
        <v>0</v>
      </c>
      <c r="D252" s="161"/>
      <c r="E252" s="179">
        <f>'[4]SST Balance Sheet'!$F$251</f>
        <v>0</v>
      </c>
      <c r="F252" s="161"/>
      <c r="H252" s="29" t="str">
        <f t="shared" si="10"/>
        <v>No</v>
      </c>
      <c r="J252" s="24"/>
      <c r="K252" s="24"/>
    </row>
    <row r="253" spans="1:11" ht="14.5">
      <c r="A253" s="39"/>
      <c r="B253" s="29" t="str">
        <f>VLOOKUP("T6.r.211",Glossary,2,FALSE)</f>
        <v>Andere unbefristete nachrangige Verbindlichkeiten (ohne Abschreibungs- und Wandlungscharakter)</v>
      </c>
      <c r="C253" s="187">
        <f>[4]Differences_Stat_SSTBalance!$G$252</f>
        <v>0</v>
      </c>
      <c r="D253" s="161"/>
      <c r="E253" s="179">
        <f>'[4]SST Balance Sheet'!$F$252</f>
        <v>0</v>
      </c>
      <c r="F253" s="161"/>
      <c r="H253" s="29" t="str">
        <f t="shared" si="10"/>
        <v>No</v>
      </c>
      <c r="J253" s="24"/>
      <c r="K253" s="24"/>
    </row>
    <row r="254" spans="1:11" ht="14.5">
      <c r="A254" s="39"/>
      <c r="B254" s="23" t="str">
        <f>VLOOKUP("T6.r.212",Glossary,2,FALSE)</f>
        <v>Unbefristete nachrangige Verbindlichkeiten - Abschreibungs- und Wandlungsinstrumente</v>
      </c>
      <c r="C254" s="187">
        <f>[4]Differences_Stat_SSTBalance!$G$253</f>
        <v>0</v>
      </c>
      <c r="D254" s="161"/>
      <c r="E254" s="179">
        <f>'[4]SST Balance Sheet'!$F$253</f>
        <v>0</v>
      </c>
      <c r="F254" s="161"/>
      <c r="H254" s="29" t="str">
        <f t="shared" si="10"/>
        <v>No</v>
      </c>
      <c r="J254" s="24"/>
      <c r="K254" s="24"/>
    </row>
    <row r="255" spans="1:11" ht="14.5">
      <c r="A255" s="39"/>
      <c r="B255" s="29" t="str">
        <f>VLOOKUP("T6.r.213",Glossary,2,FALSE)</f>
        <v>Tier 1-RAK - Abschreibungsinstrument - im SST angerechnet</v>
      </c>
      <c r="C255" s="187">
        <f>[4]Differences_Stat_SSTBalance!$G$254</f>
        <v>0</v>
      </c>
      <c r="D255" s="161"/>
      <c r="E255" s="179">
        <f>'[4]SST Balance Sheet'!$F$254</f>
        <v>0</v>
      </c>
      <c r="F255" s="161"/>
      <c r="H255" s="29" t="str">
        <f t="shared" si="10"/>
        <v>No</v>
      </c>
      <c r="J255" s="24"/>
      <c r="K255" s="24"/>
    </row>
    <row r="256" spans="1:11" ht="14.5">
      <c r="A256" s="39"/>
      <c r="B256" s="29" t="str">
        <f>VLOOKUP("T6.r.214",Glossary,2,FALSE)</f>
        <v>Tier 1-RAK - Wandlungsinstrument - im SST angerechnet</v>
      </c>
      <c r="C256" s="187">
        <f>[4]Differences_Stat_SSTBalance!$G$255</f>
        <v>0</v>
      </c>
      <c r="D256" s="161"/>
      <c r="E256" s="179">
        <f>'[4]SST Balance Sheet'!$F$255</f>
        <v>0</v>
      </c>
      <c r="F256" s="161"/>
      <c r="H256" s="29" t="str">
        <f t="shared" si="10"/>
        <v>No</v>
      </c>
      <c r="J256" s="24"/>
      <c r="K256" s="24"/>
    </row>
    <row r="257" spans="1:11" ht="14.5">
      <c r="A257" s="39"/>
      <c r="B257" s="29" t="str">
        <f>VLOOKUP("T6.r.215",Glossary,2,FALSE)</f>
        <v>Tier 1-RAK - Abschreibungs- und Wandlungsinstrument - im SST nicht angerechnet</v>
      </c>
      <c r="C257" s="187">
        <f>[4]Differences_Stat_SSTBalance!$G$256</f>
        <v>0</v>
      </c>
      <c r="D257" s="161"/>
      <c r="E257" s="179">
        <f>'[4]SST Balance Sheet'!$F$256</f>
        <v>0</v>
      </c>
      <c r="F257" s="161"/>
      <c r="H257" s="29" t="str">
        <f t="shared" si="10"/>
        <v>No</v>
      </c>
      <c r="J257" s="24"/>
      <c r="K257" s="24"/>
    </row>
    <row r="258" spans="1:11" ht="14.5">
      <c r="A258" s="39"/>
      <c r="B258" s="29" t="str">
        <f>VLOOKUP("T6.r.216",Glossary,2,FALSE)</f>
        <v>Andere Abschreibungs- und Wandlungsinstrumente</v>
      </c>
      <c r="C258" s="187">
        <f>[4]Differences_Stat_SSTBalance!$G$257</f>
        <v>0</v>
      </c>
      <c r="D258" s="161"/>
      <c r="E258" s="179">
        <f>'[4]SST Balance Sheet'!$F$257</f>
        <v>0</v>
      </c>
      <c r="F258" s="161"/>
      <c r="H258" s="29" t="str">
        <f t="shared" si="10"/>
        <v>No</v>
      </c>
      <c r="J258" s="24"/>
      <c r="K258" s="24"/>
    </row>
    <row r="259" spans="1:11" ht="14.5">
      <c r="A259" s="39"/>
      <c r="B259" s="23" t="str">
        <f>VLOOKUP("T6.r.217",Glossary,2,FALSE)</f>
        <v>Befristete nachrangige Verbindlichkeiten</v>
      </c>
      <c r="C259" s="187">
        <f>[4]Differences_Stat_SSTBalance!$G$258</f>
        <v>0</v>
      </c>
      <c r="D259" s="161"/>
      <c r="E259" s="179">
        <f>'[4]SST Balance Sheet'!$F$258</f>
        <v>0</v>
      </c>
      <c r="F259" s="161"/>
      <c r="H259" s="29" t="str">
        <f t="shared" si="10"/>
        <v>No</v>
      </c>
      <c r="J259" s="24"/>
      <c r="K259" s="24"/>
    </row>
    <row r="260" spans="1:11" ht="14.5">
      <c r="A260" s="39"/>
      <c r="B260" s="29" t="str">
        <f>VLOOKUP("T6.r.218",Glossary,2,FALSE)</f>
        <v>Tier 2-RAK - im SST angerechnet</v>
      </c>
      <c r="C260" s="187">
        <f>[4]Differences_Stat_SSTBalance!$G$259</f>
        <v>0</v>
      </c>
      <c r="D260" s="161"/>
      <c r="E260" s="179">
        <f>'[4]SST Balance Sheet'!$F$259</f>
        <v>0</v>
      </c>
      <c r="F260" s="161"/>
      <c r="H260" s="29" t="str">
        <f t="shared" si="10"/>
        <v>No</v>
      </c>
      <c r="J260" s="24"/>
      <c r="K260" s="24"/>
    </row>
    <row r="261" spans="1:11" ht="14.5">
      <c r="A261" s="39"/>
      <c r="B261" s="29" t="str">
        <f>VLOOKUP("T6.r.219",Glossary,2,FALSE)</f>
        <v>Tier 2-RAK - im SST nicht angerechnet</v>
      </c>
      <c r="C261" s="187">
        <f>[4]Differences_Stat_SSTBalance!$G$260</f>
        <v>0</v>
      </c>
      <c r="D261" s="161"/>
      <c r="E261" s="179">
        <f>'[4]SST Balance Sheet'!$F$260</f>
        <v>0</v>
      </c>
      <c r="F261" s="161"/>
      <c r="H261" s="29" t="str">
        <f t="shared" si="10"/>
        <v>No</v>
      </c>
      <c r="J261" s="24"/>
      <c r="K261" s="24"/>
    </row>
    <row r="262" spans="1:11" ht="14.5">
      <c r="A262" s="39"/>
      <c r="B262" s="29" t="str">
        <f>VLOOKUP("T6.r.220",Glossary,2,FALSE)</f>
        <v>Andere befristete nachrangige Verbindlichkeiten</v>
      </c>
      <c r="C262" s="187">
        <f>[4]Differences_Stat_SSTBalance!$G$261</f>
        <v>0</v>
      </c>
      <c r="D262" s="161"/>
      <c r="E262" s="179">
        <f>'[4]SST Balance Sheet'!$F$261</f>
        <v>0</v>
      </c>
      <c r="F262" s="161"/>
      <c r="H262" s="29" t="str">
        <f t="shared" si="10"/>
        <v>No</v>
      </c>
      <c r="J262" s="24"/>
      <c r="K262" s="24"/>
    </row>
    <row r="263" spans="1:11" ht="14.5">
      <c r="A263" s="39"/>
      <c r="C263" s="187"/>
      <c r="D263" s="185"/>
      <c r="E263" s="179"/>
      <c r="F263" s="179"/>
      <c r="H263" s="29" t="s">
        <v>1141</v>
      </c>
      <c r="J263" s="24"/>
      <c r="K263" s="24"/>
    </row>
    <row r="264" spans="1:11" ht="14.5">
      <c r="A264" s="39"/>
      <c r="B264" s="44" t="str">
        <f>VLOOKUP("T6.r.221",Glossary,2,FALSE)</f>
        <v>Total Verbindlichkeiten</v>
      </c>
      <c r="C264" s="175">
        <f>[4]Differences_Stat_SSTBalance!$G$263</f>
        <v>0</v>
      </c>
      <c r="D264" s="188">
        <f>[5]Differences_Stat_SSTBalance!$F$254</f>
        <v>0</v>
      </c>
      <c r="E264" s="176">
        <f>'[4]SST Balance Sheet'!$F$263</f>
        <v>0</v>
      </c>
      <c r="F264" s="176">
        <f>'[5]SST Balance Sheet'!$E$254</f>
        <v>0</v>
      </c>
      <c r="H264" s="29" t="str">
        <f t="shared" si="10"/>
        <v>No</v>
      </c>
      <c r="J264" s="24"/>
      <c r="K264" s="24"/>
    </row>
    <row r="265" spans="1:11" ht="14.5">
      <c r="A265" s="39"/>
      <c r="C265" s="179"/>
      <c r="D265" s="179"/>
      <c r="E265" s="179"/>
      <c r="F265" s="179"/>
      <c r="H265" s="29"/>
      <c r="J265" s="24"/>
      <c r="K265" s="24"/>
    </row>
    <row r="266" spans="1:11" ht="14.5">
      <c r="A266" s="39"/>
      <c r="C266" s="179"/>
      <c r="D266" s="179"/>
      <c r="E266" s="179"/>
      <c r="F266" s="179"/>
      <c r="J266" s="24"/>
      <c r="K266" s="24"/>
    </row>
    <row r="267" spans="1:11" ht="14.5">
      <c r="A267" s="39"/>
      <c r="B267" s="46" t="str">
        <f>VLOOKUP("T6.r.225",Glossary,2,FALSE)</f>
        <v>Aktiven prüfen</v>
      </c>
      <c r="C267" s="186">
        <f>C8+C20+C29+C39+C44+C52+C57+C92+C103+C111+C113+C118+C135+C139+C141+C143+C152+C154+C158+C160-C168</f>
        <v>0</v>
      </c>
      <c r="D267" s="186">
        <f>D8+D20+D29+D39+D44+D52+D57+D92+D103+D111+D113+D118+D135+D139+D141+D143+D152+D154+D158+D160-(D168-[5]Differences_Stat_SSTBalance!$F$87)</f>
        <v>0</v>
      </c>
      <c r="E267" s="186">
        <f>E8+E20+E29+E39+E44+E52+E57+E92+E103+E111+E113+E118+E135+E139+E141+E143+E152+E154+E158+E160-E168</f>
        <v>0</v>
      </c>
      <c r="F267" s="186">
        <f>F8+F20+F29+F39+F44+F52+F57+F92+F103+F111+F113+F118+F135+F139+F141+F143+F152+F154+F158+F160-(F168-'[5]SST Balance Sheet'!$E$87)</f>
        <v>0</v>
      </c>
      <c r="G267" s="24"/>
      <c r="J267" s="24"/>
      <c r="K267" s="24"/>
    </row>
    <row r="268" spans="1:11" ht="14.5">
      <c r="A268" s="39"/>
      <c r="B268" s="46" t="str">
        <f>VLOOKUP("T6.r.226",Glossary,2,FALSE)</f>
        <v>Verbindlichkeiten prüfen</v>
      </c>
      <c r="C268" s="186">
        <f>C173+C210+C218+C220+C225+C227+C235+C237+C241+C245+C249-C264</f>
        <v>0</v>
      </c>
      <c r="D268" s="186">
        <f>D173+D210+D218+D220+D225+D227+D235+D237+D241+D245+D249-D264</f>
        <v>0</v>
      </c>
      <c r="E268" s="186">
        <f>E173+E210+E218+E220+E225+E227+E235+E237+E241+E245+E249-E264</f>
        <v>0</v>
      </c>
      <c r="F268" s="186">
        <f>F173+F210+F218+F220+F225+F227+F235+F237+F241+F245+F249-F264</f>
        <v>0</v>
      </c>
      <c r="G268" s="24"/>
      <c r="J268" s="24"/>
      <c r="K268" s="24"/>
    </row>
    <row r="269" spans="1:11" ht="14.5">
      <c r="A269" s="39"/>
      <c r="C269" s="28"/>
      <c r="D269" s="28"/>
      <c r="E269" s="28"/>
      <c r="F269" s="28"/>
      <c r="G269" s="24"/>
      <c r="J269" s="24"/>
      <c r="K269" s="24"/>
    </row>
    <row r="270" spans="1:11" ht="13">
      <c r="A270" s="40"/>
      <c r="B270" s="41" t="str">
        <f>VLOOKUP("T6.r.227",Glossary,2,FALSE)</f>
        <v>Komponente</v>
      </c>
      <c r="C270" s="42" t="str">
        <f>VLOOKUP("T6.c.1",Glossary,2,FALSE)</f>
        <v>Statutarische Bilanz</v>
      </c>
      <c r="D270" s="42"/>
      <c r="E270" s="42" t="str">
        <f>VLOOKUP("T6.c.2",Glossary,2,FALSE)</f>
        <v>SST-Bilanz</v>
      </c>
      <c r="F270" s="42"/>
      <c r="G270" s="24"/>
      <c r="J270" s="24"/>
      <c r="K270" s="24"/>
    </row>
    <row r="271" spans="1:11" ht="13">
      <c r="A271" s="40"/>
      <c r="B271" s="41"/>
      <c r="C271" s="42">
        <f>Jahr</f>
        <v>2025</v>
      </c>
      <c r="D271" s="42">
        <f>Jahr-1</f>
        <v>2024</v>
      </c>
      <c r="E271" s="42">
        <f>Jahr</f>
        <v>2025</v>
      </c>
      <c r="F271" s="42">
        <f>Jahr-1</f>
        <v>2024</v>
      </c>
      <c r="G271" s="24"/>
      <c r="J271" s="24"/>
      <c r="K271" s="24"/>
    </row>
    <row r="272" spans="1:11">
      <c r="A272" s="40"/>
      <c r="B272" s="26" t="str">
        <f>VLOOKUP("T6.r.228",Glossary,2,FALSE)</f>
        <v>Aktiven</v>
      </c>
      <c r="C272" s="189">
        <f>C168</f>
        <v>0</v>
      </c>
      <c r="D272" s="189">
        <f>D168</f>
        <v>0</v>
      </c>
      <c r="E272" s="189">
        <f>E168</f>
        <v>0</v>
      </c>
      <c r="F272" s="189">
        <f>F168</f>
        <v>0</v>
      </c>
      <c r="J272" s="24"/>
      <c r="K272" s="24"/>
    </row>
    <row r="273" spans="1:11">
      <c r="A273" s="40"/>
      <c r="B273" s="26" t="str">
        <f>VLOOKUP("T6.r.229",Glossary,2,FALSE)</f>
        <v>Verbindlichkeiten</v>
      </c>
      <c r="C273" s="189">
        <f>C264</f>
        <v>0</v>
      </c>
      <c r="D273" s="189">
        <f t="shared" ref="D273:F273" si="11">D264</f>
        <v>0</v>
      </c>
      <c r="E273" s="189">
        <f t="shared" si="11"/>
        <v>0</v>
      </c>
      <c r="F273" s="189">
        <f t="shared" si="11"/>
        <v>0</v>
      </c>
      <c r="G273" s="24"/>
      <c r="J273" s="24"/>
      <c r="K273" s="24"/>
    </row>
    <row r="274" spans="1:11" ht="13">
      <c r="A274" s="40"/>
      <c r="B274" s="25" t="str">
        <f>VLOOKUP("T6.r.230",Glossary,2,FALSE)</f>
        <v>Differenz</v>
      </c>
      <c r="C274" s="190">
        <f>C272-C273</f>
        <v>0</v>
      </c>
      <c r="D274" s="191">
        <f>D272-D273</f>
        <v>0</v>
      </c>
      <c r="E274" s="190">
        <f>E272-E273</f>
        <v>0</v>
      </c>
      <c r="F274" s="190">
        <f t="shared" ref="F274" si="12">F272-F273</f>
        <v>0</v>
      </c>
      <c r="H274" s="127"/>
      <c r="J274" s="24"/>
      <c r="K274" s="24"/>
    </row>
    <row r="275" spans="1:11" ht="13">
      <c r="A275" s="40"/>
      <c r="B275" s="27" t="str">
        <f>VLOOKUP("T6.r.231",Glossary,2,FALSE)</f>
        <v>Abzüge</v>
      </c>
      <c r="C275" s="192"/>
      <c r="D275" s="192"/>
      <c r="E275" s="193">
        <f>[4]RBC!$E$17</f>
        <v>0</v>
      </c>
      <c r="F275" s="193">
        <f>[5]RBC!$E$16</f>
        <v>0</v>
      </c>
      <c r="G275" s="24"/>
      <c r="H275" s="127"/>
      <c r="J275" s="24"/>
      <c r="K275" s="24"/>
    </row>
    <row r="276" spans="1:11">
      <c r="A276" s="40"/>
      <c r="B276" s="26" t="str">
        <f>VLOOKUP("T6.r.232",Glossary,2,FALSE)</f>
        <v>RAK (im RTK angerechnet)</v>
      </c>
      <c r="C276" s="189"/>
      <c r="D276" s="189"/>
      <c r="E276" s="189">
        <f>[4]RBC!$E$36+[4]RBC!$E$21</f>
        <v>0</v>
      </c>
      <c r="F276" s="189">
        <f>[5]RBC!$E$35+[5]RBC!$E$20</f>
        <v>0</v>
      </c>
      <c r="G276" s="24"/>
      <c r="H276" s="127"/>
      <c r="J276" s="24"/>
      <c r="K276" s="24"/>
    </row>
    <row r="277" spans="1:11" ht="13">
      <c r="A277" s="40"/>
      <c r="B277" s="25" t="str">
        <f>VLOOKUP("T6.r.233",Glossary,2,FALSE)</f>
        <v>Eigenkapital/Risikotragendes Kapital</v>
      </c>
      <c r="C277" s="194">
        <f>SUM(C274:C276)</f>
        <v>0</v>
      </c>
      <c r="D277" s="194">
        <f>SUM(D274:D276)</f>
        <v>0</v>
      </c>
      <c r="E277" s="194">
        <f>SUM(E274:E276)</f>
        <v>0</v>
      </c>
      <c r="F277" s="194">
        <f>SUM(F274:F276)</f>
        <v>0</v>
      </c>
      <c r="G277" s="24"/>
      <c r="J277" s="24"/>
      <c r="K277" s="24"/>
    </row>
    <row r="278" spans="1:11">
      <c r="A278" s="40"/>
      <c r="B278" s="24"/>
      <c r="C278" s="195"/>
      <c r="D278" s="195"/>
      <c r="E278" s="195"/>
      <c r="F278" s="195"/>
      <c r="G278" s="24"/>
      <c r="J278" s="24"/>
      <c r="K278" s="24"/>
    </row>
    <row r="279" spans="1:11">
      <c r="A279" s="40"/>
      <c r="B279" s="46" t="str">
        <f>VLOOKUP("T6.r.234",Glossary,2,FALSE)</f>
        <v>Prüfung</v>
      </c>
      <c r="C279" s="196">
        <f>C277-[4]Differences_Stat_SSTBalance!$G$168+[4]Differences_Stat_SSTBalance!$G$263</f>
        <v>0</v>
      </c>
      <c r="D279" s="186">
        <f>D277-[5]Differences_Stat_SSTBalance!$F$169+[5]Differences_Stat_SSTBalance!$F$254</f>
        <v>0</v>
      </c>
      <c r="E279" s="196">
        <f>E277-[4]RBC!$E$38</f>
        <v>0</v>
      </c>
      <c r="F279" s="196">
        <f>F277-[5]RBC!$E$37</f>
        <v>0</v>
      </c>
      <c r="G279" s="24"/>
      <c r="J279" s="24"/>
      <c r="K279" s="24"/>
    </row>
    <row r="280" spans="1:11">
      <c r="A280" s="40"/>
      <c r="J280" s="24"/>
      <c r="K280" s="24"/>
    </row>
  </sheetData>
  <autoFilter ref="H6:H265" xr:uid="{00000000-0009-0000-0000-000004000000}"/>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K22"/>
  <sheetViews>
    <sheetView zoomScale="120" zoomScaleNormal="120" workbookViewId="0">
      <selection activeCell="B2" sqref="B2"/>
    </sheetView>
  </sheetViews>
  <sheetFormatPr defaultColWidth="8.7265625" defaultRowHeight="12.5"/>
  <cols>
    <col min="1" max="1" width="6.1796875" style="48" bestFit="1" customWidth="1"/>
    <col min="2" max="2" width="28.1796875" style="48" customWidth="1"/>
    <col min="3" max="3" width="1.81640625" style="48" customWidth="1"/>
    <col min="4" max="4" width="8.54296875" style="49" customWidth="1"/>
    <col min="5" max="5" width="5.26953125" style="54" customWidth="1"/>
    <col min="6" max="6" width="1.54296875" style="48" customWidth="1"/>
    <col min="7" max="7" width="7.26953125" style="54" customWidth="1"/>
    <col min="8" max="8" width="5.26953125" style="54" customWidth="1"/>
    <col min="9" max="9" width="2.26953125" style="48" customWidth="1"/>
    <col min="10" max="10" width="8.54296875" style="49" customWidth="1"/>
    <col min="11" max="11" width="8.54296875" style="54" bestFit="1" customWidth="1"/>
    <col min="12" max="16384" width="8.7265625" style="48"/>
  </cols>
  <sheetData>
    <row r="1" spans="1:11" ht="20">
      <c r="A1" s="47">
        <v>6.1</v>
      </c>
      <c r="B1" s="47" t="str">
        <f>VLOOKUP("T0.9",Glossary,2,FALSE)</f>
        <v>Übersicht - Zielkapital</v>
      </c>
      <c r="C1" s="133"/>
      <c r="D1" s="134"/>
      <c r="E1" s="135"/>
      <c r="F1" s="133"/>
      <c r="G1" s="135"/>
      <c r="H1" s="135"/>
      <c r="I1" s="133"/>
      <c r="J1" s="134"/>
      <c r="K1" s="135"/>
    </row>
    <row r="3" spans="1:11">
      <c r="A3" s="133"/>
      <c r="B3" s="130"/>
      <c r="C3" s="130"/>
      <c r="D3" s="132"/>
      <c r="E3" s="136"/>
      <c r="F3" s="130"/>
      <c r="G3" s="136"/>
      <c r="H3" s="136"/>
      <c r="I3" s="130"/>
      <c r="J3" s="132"/>
      <c r="K3" s="136"/>
    </row>
    <row r="4" spans="1:11">
      <c r="A4" s="133"/>
      <c r="B4" s="58"/>
      <c r="C4" s="10"/>
      <c r="D4" s="12" t="str">
        <f>CONCATENATE("SST ",Jahr)</f>
        <v>SST 2025</v>
      </c>
      <c r="E4" s="5"/>
      <c r="F4" s="4"/>
      <c r="G4" s="5"/>
      <c r="H4" s="5"/>
      <c r="I4" s="10"/>
      <c r="J4" s="12" t="str">
        <f>CONCATENATE("SST ",Jahr-1)</f>
        <v>SST 2024</v>
      </c>
      <c r="K4" s="5"/>
    </row>
    <row r="5" spans="1:11" ht="16.5">
      <c r="A5" s="141"/>
      <c r="B5" s="59" t="str">
        <f>VLOOKUP("T4.r.1",Glossary,2,FALSE)</f>
        <v>Vorzeichenkonvention:
ZK = Summe der Komponente;</v>
      </c>
      <c r="C5" s="53"/>
      <c r="D5" s="13" t="str">
        <f>VLOOKUP("T4.c.1",Glossary,2,FALSE)</f>
        <v>Mio. CHF</v>
      </c>
      <c r="E5" s="90" t="str">
        <f>VLOOKUP("T4.c.2",Glossary,2,FALSE)</f>
        <v>Rel. Diff. Vorjahr</v>
      </c>
      <c r="F5" s="53"/>
      <c r="G5" s="6" t="str">
        <f>VLOOKUP("T4.c.3",Glossary,2,FALSE)</f>
        <v>Anteil ZK</v>
      </c>
      <c r="H5" s="90" t="str">
        <f>VLOOKUP("T4.c.4",Glossary,2,FALSE)</f>
        <v>Rel. Diff. Vorjahr</v>
      </c>
      <c r="I5" s="51"/>
      <c r="J5" s="13" t="str">
        <f>VLOOKUP("T4.c.5",Glossary,2,FALSE)</f>
        <v>Mio. CHF</v>
      </c>
      <c r="K5" s="6" t="str">
        <f>VLOOKUP("T4.c.6",Glossary,2,FALSE)</f>
        <v>Anteil ZK</v>
      </c>
    </row>
    <row r="6" spans="1:11" ht="13">
      <c r="A6" s="66"/>
      <c r="B6" s="10"/>
      <c r="C6" s="10"/>
      <c r="D6" s="57"/>
      <c r="E6" s="91" t="str">
        <f t="shared" ref="E6:E15" si="0">IF(J6=0,"",(D6-J6)/J6)</f>
        <v/>
      </c>
      <c r="F6" s="10"/>
      <c r="G6" s="56"/>
      <c r="H6" s="91" t="str">
        <f t="shared" ref="H6:H15" si="1">IF(K6=0,"",(G6-K6)/K6)</f>
        <v/>
      </c>
      <c r="I6" s="10"/>
      <c r="J6" s="57"/>
      <c r="K6" s="56"/>
    </row>
    <row r="7" spans="1:11">
      <c r="A7" s="65"/>
      <c r="B7" s="4" t="str">
        <f>VLOOKUP("T4.r.3",Glossary,2,FALSE)</f>
        <v>Zielkapital (ZK)</v>
      </c>
      <c r="C7" s="10"/>
      <c r="D7" s="15">
        <f>[1]Fundamental_Data!$C$115</f>
        <v>0</v>
      </c>
      <c r="E7" s="91" t="str">
        <f>IF(J7=0,"",(D7-J7)/J7)</f>
        <v/>
      </c>
      <c r="F7" s="10"/>
      <c r="G7" s="30" t="e">
        <f t="shared" ref="G7:G15" si="2">D7/$D$7</f>
        <v>#DIV/0!</v>
      </c>
      <c r="H7" s="91" t="e">
        <f t="shared" si="1"/>
        <v>#DIV/0!</v>
      </c>
      <c r="I7" s="10"/>
      <c r="J7" s="15">
        <f>[2]Fundamental_Data!$C$115</f>
        <v>0</v>
      </c>
      <c r="K7" s="30" t="e">
        <f>J7/$J$7</f>
        <v>#DIV/0!</v>
      </c>
    </row>
    <row r="8" spans="1:11">
      <c r="A8" s="65"/>
      <c r="B8" s="8" t="str">
        <f>VLOOKUP("T4.r.4",Glossary,2,FALSE)</f>
        <v xml:space="preserve"> Marktrisiko</v>
      </c>
      <c r="C8" s="10"/>
      <c r="D8" s="17">
        <f>[1]Fundamental_Data!$C$107</f>
        <v>0</v>
      </c>
      <c r="E8" s="91" t="str">
        <f>IF(J8=0,"",(D8-J8)/J8)</f>
        <v/>
      </c>
      <c r="F8" s="10"/>
      <c r="G8" s="118" t="e">
        <f t="shared" si="2"/>
        <v>#DIV/0!</v>
      </c>
      <c r="H8" s="91" t="e">
        <f t="shared" si="1"/>
        <v>#DIV/0!</v>
      </c>
      <c r="I8" s="10"/>
      <c r="J8" s="17">
        <f>[2]Fundamental_Data!$C$107</f>
        <v>0</v>
      </c>
      <c r="K8" s="118" t="e">
        <f t="shared" ref="K8:K15" si="3">J8/$J$7</f>
        <v>#DIV/0!</v>
      </c>
    </row>
    <row r="9" spans="1:11">
      <c r="A9" s="65"/>
      <c r="B9" s="10" t="str">
        <f>VLOOKUP("T4.r.5",Glossary,2,FALSE)</f>
        <v xml:space="preserve"> Kreditrisiko</v>
      </c>
      <c r="C9" s="10"/>
      <c r="D9" s="16">
        <f>[1]Fundamental_Data!$C$106</f>
        <v>0</v>
      </c>
      <c r="E9" s="91" t="str">
        <f>IF(J9=0,"",(D9-J9)/J9)</f>
        <v/>
      </c>
      <c r="F9" s="10"/>
      <c r="G9" s="119" t="e">
        <f t="shared" si="2"/>
        <v>#DIV/0!</v>
      </c>
      <c r="H9" s="91" t="e">
        <f t="shared" si="1"/>
        <v>#DIV/0!</v>
      </c>
      <c r="I9" s="10"/>
      <c r="J9" s="16">
        <f>[2]Fundamental_Data!$C$106</f>
        <v>0</v>
      </c>
      <c r="K9" s="119" t="e">
        <f t="shared" si="3"/>
        <v>#DIV/0!</v>
      </c>
    </row>
    <row r="10" spans="1:11">
      <c r="A10" s="65"/>
      <c r="B10" s="8" t="str">
        <f>VLOOKUP("T4.r.6",Glossary,2,FALSE)</f>
        <v xml:space="preserve"> Versicherungsrisiko</v>
      </c>
      <c r="C10" s="10"/>
      <c r="D10" s="17">
        <f>[1]Fundamental_Data!$C$108</f>
        <v>0</v>
      </c>
      <c r="E10" s="91" t="str">
        <f t="shared" si="0"/>
        <v/>
      </c>
      <c r="F10" s="10"/>
      <c r="G10" s="118" t="e">
        <f t="shared" si="2"/>
        <v>#DIV/0!</v>
      </c>
      <c r="H10" s="91" t="e">
        <f t="shared" si="1"/>
        <v>#DIV/0!</v>
      </c>
      <c r="I10" s="10"/>
      <c r="J10" s="17">
        <f>[2]Fundamental_Data!$C$108</f>
        <v>0</v>
      </c>
      <c r="K10" s="118" t="e">
        <f t="shared" si="3"/>
        <v>#DIV/0!</v>
      </c>
    </row>
    <row r="11" spans="1:11">
      <c r="A11" s="65"/>
      <c r="B11" s="10" t="str">
        <f>VLOOKUP("T4.r.7",Glossary,2,FALSE)</f>
        <v xml:space="preserve"> Diversifikationseffekt</v>
      </c>
      <c r="C11" s="10"/>
      <c r="D11" s="16">
        <f>[1]Fundamental_Data!$C$109</f>
        <v>0</v>
      </c>
      <c r="E11" s="91" t="str">
        <f t="shared" si="0"/>
        <v/>
      </c>
      <c r="F11" s="10"/>
      <c r="G11" s="119" t="e">
        <f t="shared" si="2"/>
        <v>#DIV/0!</v>
      </c>
      <c r="H11" s="91" t="e">
        <f t="shared" si="1"/>
        <v>#DIV/0!</v>
      </c>
      <c r="I11" s="10"/>
      <c r="J11" s="16">
        <f>[2]Fundamental_Data!$C$109</f>
        <v>0</v>
      </c>
      <c r="K11" s="119" t="e">
        <f t="shared" si="3"/>
        <v>#DIV/0!</v>
      </c>
    </row>
    <row r="12" spans="1:11">
      <c r="A12" s="65"/>
      <c r="B12" s="8" t="str">
        <f>VLOOKUP("T4.r.8",Glossary,2,FALSE)</f>
        <v xml:space="preserve"> Negative des erwarteteten finanz. Ergebnisses </v>
      </c>
      <c r="C12" s="10"/>
      <c r="D12" s="17">
        <f>-[1]Fundamental_Data!$C$105</f>
        <v>0</v>
      </c>
      <c r="E12" s="91" t="str">
        <f t="shared" si="0"/>
        <v/>
      </c>
      <c r="F12" s="10"/>
      <c r="G12" s="118" t="e">
        <f t="shared" si="2"/>
        <v>#DIV/0!</v>
      </c>
      <c r="H12" s="91" t="e">
        <f t="shared" si="1"/>
        <v>#DIV/0!</v>
      </c>
      <c r="I12" s="10"/>
      <c r="J12" s="17">
        <f>-[2]Fundamental_Data!$C$105</f>
        <v>0</v>
      </c>
      <c r="K12" s="118" t="e">
        <f t="shared" si="3"/>
        <v>#DIV/0!</v>
      </c>
    </row>
    <row r="13" spans="1:11">
      <c r="A13" s="65"/>
      <c r="B13" s="3" t="str">
        <f>VLOOKUP("T4.r.9",Glossary,2,FALSE)</f>
        <v xml:space="preserve"> Negative des erwarteteten vers. Ergebnisses</v>
      </c>
      <c r="C13" s="10"/>
      <c r="D13" s="16">
        <f>-[1]Fundamental_Data!$C$104</f>
        <v>0</v>
      </c>
      <c r="E13" s="91" t="str">
        <f t="shared" si="0"/>
        <v/>
      </c>
      <c r="F13" s="10"/>
      <c r="G13" s="119" t="e">
        <f t="shared" si="2"/>
        <v>#DIV/0!</v>
      </c>
      <c r="H13" s="91" t="e">
        <f t="shared" si="1"/>
        <v>#DIV/0!</v>
      </c>
      <c r="I13" s="10"/>
      <c r="J13" s="16">
        <f>-[2]Fundamental_Data!$C$104</f>
        <v>0</v>
      </c>
      <c r="K13" s="119" t="e">
        <f t="shared" si="3"/>
        <v>#DIV/0!</v>
      </c>
    </row>
    <row r="14" spans="1:11">
      <c r="A14" s="65"/>
      <c r="B14" s="8" t="str">
        <f>VLOOKUP("T4.r.10",Glossary,2,FALSE)</f>
        <v xml:space="preserve"> Szenarieneffekt</v>
      </c>
      <c r="C14" s="10"/>
      <c r="D14" s="17">
        <f>[1]Fundamental_Data!$C$110</f>
        <v>0</v>
      </c>
      <c r="E14" s="91" t="str">
        <f t="shared" si="0"/>
        <v/>
      </c>
      <c r="F14" s="10"/>
      <c r="G14" s="118" t="e">
        <f t="shared" si="2"/>
        <v>#DIV/0!</v>
      </c>
      <c r="H14" s="91" t="e">
        <f t="shared" si="1"/>
        <v>#DIV/0!</v>
      </c>
      <c r="I14" s="10"/>
      <c r="J14" s="17">
        <f>[2]Fundamental_Data!$C$110</f>
        <v>0</v>
      </c>
      <c r="K14" s="118" t="e">
        <f t="shared" si="3"/>
        <v>#DIV/0!</v>
      </c>
    </row>
    <row r="15" spans="1:11">
      <c r="A15" s="65"/>
      <c r="B15" s="115" t="str">
        <f>VLOOKUP("T4.r.11",Glossary,2,FALSE)</f>
        <v xml:space="preserve"> Zusätzliche Effekte</v>
      </c>
      <c r="C15" s="51"/>
      <c r="D15" s="116">
        <f>SUM([1]Fundamental_Data!$C$111:$C$114)</f>
        <v>0</v>
      </c>
      <c r="E15" s="110" t="str">
        <f t="shared" si="0"/>
        <v/>
      </c>
      <c r="F15" s="51"/>
      <c r="G15" s="120" t="e">
        <f t="shared" si="2"/>
        <v>#DIV/0!</v>
      </c>
      <c r="H15" s="110" t="e">
        <f t="shared" si="1"/>
        <v>#DIV/0!</v>
      </c>
      <c r="I15" s="51"/>
      <c r="J15" s="116">
        <f>SUM([2]Fundamental_Data!$C$111:$C$114)</f>
        <v>0</v>
      </c>
      <c r="K15" s="120" t="e">
        <f t="shared" si="3"/>
        <v>#DIV/0!</v>
      </c>
    </row>
    <row r="16" spans="1:11">
      <c r="A16" s="65"/>
      <c r="B16" s="50"/>
      <c r="C16" s="50"/>
      <c r="D16" s="107"/>
      <c r="E16" s="113"/>
      <c r="F16" s="50"/>
      <c r="G16" s="114"/>
      <c r="H16" s="113"/>
      <c r="I16" s="50"/>
      <c r="J16" s="107"/>
      <c r="K16" s="114"/>
    </row>
    <row r="17" spans="1:3">
      <c r="A17" s="130"/>
      <c r="B17" s="133"/>
      <c r="C17" s="133"/>
    </row>
    <row r="22" spans="1:3">
      <c r="A22" s="133"/>
      <c r="B22" s="133"/>
      <c r="C22" s="93"/>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N24"/>
  <sheetViews>
    <sheetView zoomScale="120" zoomScaleNormal="120" workbookViewId="0">
      <selection activeCell="B1" sqref="B1"/>
    </sheetView>
  </sheetViews>
  <sheetFormatPr defaultColWidth="8.7265625" defaultRowHeight="12.5"/>
  <cols>
    <col min="1" max="1" width="8.54296875" style="68" bestFit="1" customWidth="1"/>
    <col min="2" max="2" width="22.54296875" style="48" customWidth="1"/>
    <col min="3" max="3" width="1.81640625" style="48" customWidth="1"/>
    <col min="4" max="4" width="9.453125" style="49" customWidth="1"/>
    <col min="5" max="5" width="7.54296875" style="54" customWidth="1"/>
    <col min="6" max="6" width="2.26953125" style="48" customWidth="1"/>
    <col min="7" max="7" width="9.1796875" style="49" customWidth="1"/>
    <col min="8" max="8" width="9.1796875" style="48" customWidth="1"/>
    <col min="9" max="9" width="2.26953125" style="48" customWidth="1"/>
    <col min="10" max="10" width="9.1796875" style="49" customWidth="1"/>
    <col min="11" max="11" width="9.1796875" style="48" customWidth="1"/>
    <col min="12" max="16384" width="8.7265625" style="48"/>
  </cols>
  <sheetData>
    <row r="1" spans="1:12" ht="20">
      <c r="A1" s="67">
        <v>6.6</v>
      </c>
      <c r="B1" s="47" t="str">
        <f>VLOOKUP("T0.10",Glossary,2,FALSE)</f>
        <v xml:space="preserve">Erwartetes finanzielles Ergebnis über risikofreier Verzinsung </v>
      </c>
      <c r="C1" s="133"/>
      <c r="D1" s="134"/>
      <c r="E1" s="135"/>
      <c r="F1" s="133"/>
      <c r="G1" s="134"/>
      <c r="H1" s="133"/>
      <c r="I1" s="133"/>
      <c r="J1" s="134"/>
      <c r="K1" s="133"/>
      <c r="L1" s="133"/>
    </row>
    <row r="2" spans="1:12" ht="20">
      <c r="A2" s="67"/>
      <c r="B2" s="47"/>
      <c r="C2" s="133"/>
      <c r="D2" s="134"/>
      <c r="E2" s="135"/>
      <c r="F2" s="133"/>
      <c r="G2" s="134"/>
      <c r="H2" s="133"/>
      <c r="I2" s="133"/>
      <c r="J2" s="134"/>
      <c r="K2" s="133"/>
      <c r="L2" s="133"/>
    </row>
    <row r="3" spans="1:12">
      <c r="A3" s="137"/>
      <c r="B3" s="130"/>
      <c r="C3" s="130"/>
      <c r="D3" s="132"/>
      <c r="E3" s="136"/>
      <c r="F3" s="130"/>
      <c r="G3" s="132"/>
      <c r="H3" s="133"/>
      <c r="I3" s="130"/>
      <c r="J3" s="133"/>
      <c r="K3" s="133"/>
      <c r="L3" s="133"/>
    </row>
    <row r="4" spans="1:12">
      <c r="A4" s="137"/>
      <c r="B4" s="58"/>
      <c r="C4" s="10"/>
      <c r="D4" s="12" t="str">
        <f>CONCATENATE("SST ",Jahr)</f>
        <v>SST 2025</v>
      </c>
      <c r="E4" s="5"/>
      <c r="F4" s="10"/>
      <c r="G4" s="12" t="str">
        <f>CONCATENATE("SST ",Jahr-1)</f>
        <v>SST 2024</v>
      </c>
      <c r="H4" s="69"/>
      <c r="I4" s="10"/>
      <c r="J4" s="133"/>
      <c r="K4" s="50"/>
      <c r="L4" s="69"/>
    </row>
    <row r="5" spans="1:12">
      <c r="A5" s="137"/>
      <c r="B5" s="58"/>
      <c r="C5" s="53"/>
      <c r="D5" s="13" t="str">
        <f>VLOOKUP("T5.c.1",Glossary,2,FALSE)</f>
        <v>Mio. CHF</v>
      </c>
      <c r="E5" s="55" t="str">
        <f>VLOOKUP("T5.c.2",Glossary,2,FALSE)</f>
        <v>Rel. Diff.</v>
      </c>
      <c r="F5" s="55"/>
      <c r="G5" s="13" t="str">
        <f>VLOOKUP("T5.c.3",Glossary,2,FALSE)</f>
        <v>Mio. CHF</v>
      </c>
      <c r="H5" s="133"/>
      <c r="I5" s="61"/>
      <c r="J5" s="133"/>
      <c r="K5" s="133"/>
      <c r="L5" s="133"/>
    </row>
    <row r="6" spans="1:12">
      <c r="A6" s="137"/>
      <c r="B6" s="10"/>
      <c r="C6" s="10"/>
      <c r="D6" s="14"/>
      <c r="E6" s="56"/>
      <c r="F6" s="10"/>
      <c r="G6" s="14"/>
      <c r="H6" s="133"/>
      <c r="I6" s="50"/>
      <c r="J6" s="133"/>
      <c r="K6" s="133"/>
      <c r="L6" s="133"/>
    </row>
    <row r="7" spans="1:12">
      <c r="A7" s="137"/>
      <c r="B7" s="33" t="str">
        <f>VLOOKUP("T5.r.1",Glossary,2,FALSE)</f>
        <v>Erwartet</v>
      </c>
      <c r="C7" s="99"/>
      <c r="D7" s="97">
        <f>[1]Fundamental_Data!$C$105</f>
        <v>0</v>
      </c>
      <c r="E7" s="98" t="str">
        <f>IF(G7=0,"",(D7-G7)/G7)</f>
        <v/>
      </c>
      <c r="F7" s="99"/>
      <c r="G7" s="97">
        <f>[2]Fundamental_Data!$C$105</f>
        <v>0</v>
      </c>
      <c r="H7" s="165"/>
      <c r="I7" s="104"/>
      <c r="J7" s="133"/>
      <c r="K7" s="133"/>
      <c r="L7" s="133"/>
    </row>
    <row r="8" spans="1:12" ht="13">
      <c r="A8" s="137"/>
      <c r="B8" s="103"/>
      <c r="C8" s="138"/>
      <c r="D8" s="166"/>
      <c r="E8" s="167"/>
      <c r="F8" s="165"/>
      <c r="G8" s="166"/>
      <c r="H8" s="165"/>
      <c r="I8" s="138"/>
      <c r="J8" s="133"/>
      <c r="K8" s="133"/>
      <c r="L8" s="133"/>
    </row>
    <row r="9" spans="1:12" ht="22.5" customHeight="1">
      <c r="A9" s="137"/>
      <c r="B9" s="34" t="str">
        <f>VLOOKUP("T5.r.2",Glossary,2,FALSE)</f>
        <v>Tatsächlich erreicht (Ex post-Betrachtung)</v>
      </c>
      <c r="C9" s="99"/>
      <c r="D9" s="96" t="s">
        <v>6</v>
      </c>
      <c r="E9" s="98"/>
      <c r="F9" s="99"/>
      <c r="G9" s="97"/>
      <c r="H9" s="165"/>
      <c r="I9" s="99"/>
      <c r="J9" s="133"/>
      <c r="K9" s="133"/>
      <c r="L9" s="133"/>
    </row>
    <row r="10" spans="1:12">
      <c r="A10" s="137"/>
      <c r="B10" s="133"/>
      <c r="C10" s="133"/>
      <c r="D10" s="164"/>
      <c r="E10" s="162"/>
      <c r="F10" s="163"/>
      <c r="G10" s="164"/>
      <c r="H10" s="163"/>
      <c r="I10" s="133"/>
      <c r="J10" s="133"/>
      <c r="K10" s="133"/>
      <c r="L10" s="133"/>
    </row>
    <row r="11" spans="1:12">
      <c r="D11" s="164"/>
      <c r="E11" s="162"/>
      <c r="F11" s="163"/>
      <c r="G11" s="164"/>
      <c r="H11" s="163"/>
    </row>
    <row r="12" spans="1:12">
      <c r="D12" s="164"/>
      <c r="E12" s="162"/>
      <c r="F12" s="163"/>
      <c r="G12" s="164"/>
      <c r="H12" s="163"/>
    </row>
    <row r="13" spans="1:12" ht="20">
      <c r="A13" s="67">
        <v>6.7</v>
      </c>
      <c r="B13" s="47" t="str">
        <f>VLOOKUP("T0.11",Glossary,2,FALSE)</f>
        <v>Erwartetes vers. Ergebnis</v>
      </c>
      <c r="C13" s="133"/>
      <c r="D13" s="164"/>
      <c r="E13" s="162"/>
      <c r="F13" s="163"/>
      <c r="G13" s="164"/>
      <c r="H13" s="163"/>
      <c r="I13" s="133"/>
      <c r="J13" s="134"/>
      <c r="K13" s="133"/>
      <c r="L13" s="133"/>
    </row>
    <row r="14" spans="1:12" ht="20">
      <c r="A14" s="67"/>
      <c r="B14" s="47"/>
      <c r="C14" s="133"/>
      <c r="D14" s="164"/>
      <c r="E14" s="162"/>
      <c r="F14" s="163"/>
      <c r="G14" s="164"/>
      <c r="H14" s="163"/>
      <c r="I14" s="133"/>
      <c r="J14" s="134"/>
      <c r="K14" s="133"/>
      <c r="L14" s="133"/>
    </row>
    <row r="15" spans="1:12">
      <c r="D15" s="164"/>
      <c r="E15" s="162"/>
      <c r="F15" s="163"/>
      <c r="G15" s="164"/>
      <c r="H15" s="163"/>
    </row>
    <row r="16" spans="1:12">
      <c r="A16" s="137"/>
      <c r="B16" s="19"/>
      <c r="C16" s="10"/>
      <c r="D16" s="12" t="str">
        <f>CONCATENATE("SST ",Jahr)</f>
        <v>SST 2025</v>
      </c>
      <c r="E16" s="5"/>
      <c r="F16" s="10"/>
      <c r="G16" s="12" t="str">
        <f>CONCATENATE("SST ",Jahr-1)</f>
        <v>SST 2024</v>
      </c>
      <c r="H16" s="163"/>
      <c r="I16" s="10"/>
      <c r="J16" s="12" t="str">
        <f>CONCATENATE("SST ",Jahr-2)</f>
        <v>SST 2023</v>
      </c>
      <c r="K16" s="133"/>
      <c r="L16" s="133"/>
    </row>
    <row r="17" spans="2:14" ht="25.5" customHeight="1">
      <c r="B17" s="133"/>
      <c r="C17" s="53"/>
      <c r="D17" s="13" t="str">
        <f>VLOOKUP("T5.c.1",Glossary,2,FALSE)</f>
        <v>Mio. CHF</v>
      </c>
      <c r="E17" s="55" t="str">
        <f>VLOOKUP("T5.c.2",Glossary,2,FALSE)</f>
        <v>Rel. Diff.</v>
      </c>
      <c r="F17" s="55"/>
      <c r="G17" s="13" t="str">
        <f>VLOOKUP("T5.c.3",Glossary,2,FALSE)</f>
        <v>Mio. CHF</v>
      </c>
      <c r="H17" s="13" t="str">
        <f>VLOOKUP("T5.c.4",Glossary,2,FALSE)&amp;Jahr-1</f>
        <v>Stand per 31.12.2024</v>
      </c>
      <c r="I17" s="55"/>
      <c r="J17" s="13" t="str">
        <f>VLOOKUP("T5.c.3",Glossary,2,FALSE)</f>
        <v>Mio. CHF</v>
      </c>
      <c r="K17" s="13" t="str">
        <f>VLOOKUP("T5.c.4",Glossary,2,FALSE)&amp;Jahr-1</f>
        <v>Stand per 31.12.2024</v>
      </c>
      <c r="L17" s="133"/>
      <c r="M17" s="133"/>
      <c r="N17" s="133"/>
    </row>
    <row r="18" spans="2:14" ht="25.5" customHeight="1">
      <c r="B18" s="133"/>
      <c r="C18" s="63"/>
      <c r="D18" s="95" t="str">
        <f>VLOOKUP("T5.c.5",Glossary,2,FALSE)</f>
        <v>Erwartet</v>
      </c>
      <c r="E18" s="61"/>
      <c r="F18" s="61"/>
      <c r="G18" s="95" t="str">
        <f>VLOOKUP("T5.c.5",Glossary,2,FALSE)</f>
        <v>Erwartet</v>
      </c>
      <c r="H18" s="105" t="str">
        <f>VLOOKUP("T5.c.6",Glossary,2,FALSE)</f>
        <v>Neuschätzung</v>
      </c>
      <c r="I18" s="61"/>
      <c r="J18" s="95" t="str">
        <f>VLOOKUP("T5.c.5",Glossary,2,FALSE)</f>
        <v>Erwartet</v>
      </c>
      <c r="K18" s="105" t="str">
        <f>VLOOKUP("T5.c.6",Glossary,2,FALSE)</f>
        <v>Neuschätzung</v>
      </c>
      <c r="L18" s="133"/>
      <c r="M18" s="133"/>
      <c r="N18" s="133"/>
    </row>
    <row r="19" spans="2:14" ht="13">
      <c r="B19" s="32"/>
      <c r="C19" s="133"/>
      <c r="D19" s="168"/>
      <c r="E19" s="162"/>
      <c r="F19" s="163"/>
      <c r="G19" s="169"/>
      <c r="H19" s="169"/>
      <c r="I19" s="130"/>
      <c r="J19" s="140"/>
      <c r="K19" s="140"/>
      <c r="L19" s="133"/>
      <c r="M19" s="133"/>
      <c r="N19" s="133"/>
    </row>
    <row r="20" spans="2:14">
      <c r="B20" s="33" t="str">
        <f>VLOOKUP("T5.r.4",Glossary,2,FALSE)</f>
        <v>vt Ergebnis diskontiert</v>
      </c>
      <c r="C20" s="10"/>
      <c r="D20" s="97">
        <f>[1]Fundamental_Data!$C$104</f>
        <v>0</v>
      </c>
      <c r="E20" s="98" t="str">
        <f>IF(G20=0,"",(D20-G20)/G20)</f>
        <v/>
      </c>
      <c r="F20" s="99"/>
      <c r="G20" s="97">
        <f>[2]Fundamental_Data!$C$104</f>
        <v>0</v>
      </c>
      <c r="H20" s="96" t="s">
        <v>6</v>
      </c>
      <c r="I20" s="99"/>
      <c r="J20" s="97">
        <f>[3]Fundamental_Data!$C$102</f>
        <v>0</v>
      </c>
      <c r="K20" s="96" t="s">
        <v>6</v>
      </c>
      <c r="L20" s="133"/>
      <c r="M20" s="133"/>
      <c r="N20" s="133"/>
    </row>
    <row r="21" spans="2:14" ht="13">
      <c r="B21" s="32"/>
      <c r="C21" s="133"/>
      <c r="D21" s="168"/>
      <c r="E21" s="162"/>
      <c r="F21" s="163"/>
      <c r="G21" s="168"/>
      <c r="H21" s="168"/>
      <c r="I21" s="133"/>
      <c r="J21" s="139"/>
      <c r="K21" s="139"/>
      <c r="L21" s="133"/>
      <c r="M21" s="133"/>
      <c r="N21" s="133"/>
    </row>
    <row r="22" spans="2:14" ht="23.25" customHeight="1">
      <c r="B22" s="34" t="str">
        <f>VLOOKUP("T5.r.5",Glossary,2,FALSE)</f>
        <v>vt Ergebnis nicht diskontiert</v>
      </c>
      <c r="C22" s="10"/>
      <c r="D22" s="100"/>
      <c r="E22" s="98" t="str">
        <f>IF(G22=0,"",(D22-G22)/G22)</f>
        <v/>
      </c>
      <c r="F22" s="99"/>
      <c r="G22" s="100"/>
      <c r="H22" s="100"/>
      <c r="I22" s="99"/>
      <c r="J22" s="100"/>
      <c r="K22" s="100"/>
      <c r="L22" s="133"/>
      <c r="M22" s="133"/>
      <c r="N22" s="133"/>
    </row>
    <row r="23" spans="2:14" ht="18.75" customHeight="1">
      <c r="B23" s="106" t="str">
        <f>VLOOKUP("T5.r.6",Glossary,2,FALSE)</f>
        <v xml:space="preserve">  davon Abwicklungsergebnis Rückstellungen</v>
      </c>
      <c r="C23" s="10"/>
      <c r="D23" s="101">
        <v>0</v>
      </c>
      <c r="E23" s="98"/>
      <c r="F23" s="102"/>
      <c r="G23" s="101">
        <v>0</v>
      </c>
      <c r="H23" s="101"/>
      <c r="I23" s="102"/>
      <c r="J23" s="101">
        <v>0</v>
      </c>
      <c r="K23" s="101"/>
      <c r="L23" s="133"/>
      <c r="M23" s="133"/>
      <c r="N23" s="133"/>
    </row>
    <row r="24" spans="2:14">
      <c r="B24" s="106" t="str">
        <f>VLOOKUP("T5.r.7",Glossary,2,FALSE)</f>
        <v xml:space="preserve">  davon Neugeschäft nicht diskontiert</v>
      </c>
      <c r="C24" s="10"/>
      <c r="D24" s="101"/>
      <c r="E24" s="98" t="str">
        <f>IF(G24=0,"",(D24-G24)/G24)</f>
        <v/>
      </c>
      <c r="F24" s="102"/>
      <c r="G24" s="101"/>
      <c r="H24" s="101"/>
      <c r="I24" s="102"/>
      <c r="J24" s="101"/>
      <c r="K24" s="101"/>
      <c r="L24" s="133"/>
      <c r="M24" s="133"/>
      <c r="N24" s="133"/>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G427"/>
  <sheetViews>
    <sheetView zoomScale="80" zoomScaleNormal="80" workbookViewId="0">
      <selection activeCell="B1" sqref="B1"/>
    </sheetView>
  </sheetViews>
  <sheetFormatPr defaultColWidth="8.7265625" defaultRowHeight="12"/>
  <cols>
    <col min="1" max="1" width="2.81640625" style="77" bestFit="1" customWidth="1"/>
    <col min="2" max="2" width="8.7265625" style="60"/>
    <col min="3" max="3" width="33.26953125" style="60" customWidth="1"/>
    <col min="4" max="4" width="51.453125" style="60" customWidth="1"/>
    <col min="5" max="5" width="47.81640625" style="60" customWidth="1"/>
    <col min="6" max="6" width="43" style="60" customWidth="1"/>
    <col min="7" max="16384" width="8.7265625" style="77"/>
  </cols>
  <sheetData>
    <row r="1" spans="1:6" ht="20">
      <c r="A1" s="35"/>
      <c r="B1" s="35" t="s">
        <v>7</v>
      </c>
      <c r="C1" s="77"/>
      <c r="D1" s="77"/>
      <c r="E1" s="77"/>
      <c r="F1" s="77"/>
    </row>
    <row r="2" spans="1:6">
      <c r="A2" s="78"/>
      <c r="B2" s="78"/>
      <c r="C2" s="77"/>
      <c r="D2" s="77"/>
      <c r="E2" s="77"/>
      <c r="F2" s="77"/>
    </row>
    <row r="3" spans="1:6">
      <c r="A3" s="78"/>
      <c r="B3" s="78"/>
      <c r="C3" s="77"/>
      <c r="D3" s="77"/>
      <c r="E3" s="77"/>
      <c r="F3" s="77"/>
    </row>
    <row r="4" spans="1:6" ht="13">
      <c r="B4" s="79" t="s">
        <v>8</v>
      </c>
      <c r="C4" s="79" t="s">
        <v>9</v>
      </c>
      <c r="D4" s="79" t="s">
        <v>10</v>
      </c>
      <c r="E4" s="79" t="s">
        <v>11</v>
      </c>
      <c r="F4" s="79" t="s">
        <v>12</v>
      </c>
    </row>
    <row r="6" spans="1:6">
      <c r="B6" s="70"/>
      <c r="C6" s="70" t="str">
        <f>IF(Sprache=Glossary!$D$9,D6,IF(Sprache=Glossary!$E$9,E6,IF(Sprache=Glossary!$F$9,Glossary!F6)))</f>
        <v>Deutsch</v>
      </c>
      <c r="D6" s="70" t="s">
        <v>13</v>
      </c>
      <c r="E6" s="71" t="s">
        <v>14</v>
      </c>
      <c r="F6" s="71" t="s">
        <v>12</v>
      </c>
    </row>
    <row r="7" spans="1:6">
      <c r="B7" s="60" t="s">
        <v>15</v>
      </c>
      <c r="C7" s="60" t="str">
        <f>IF(Sprache=Glossary!$D$9,D7,IF(Sprache=Glossary!$E$9,E7,IF(Sprache=Glossary!$F$9,Glossary!F7)))</f>
        <v>SST-Währung</v>
      </c>
      <c r="D7" s="60" t="s">
        <v>16</v>
      </c>
      <c r="E7" s="60" t="s">
        <v>17</v>
      </c>
      <c r="F7" s="60" t="s">
        <v>18</v>
      </c>
    </row>
    <row r="8" spans="1:6">
      <c r="B8" s="60" t="s">
        <v>19</v>
      </c>
      <c r="C8" s="60" t="str">
        <f>IF(Sprache=Glossary!$D$9,D8,IF(Sprache=Glossary!$E$9,E8,IF(Sprache=Glossary!$F$9,Glossary!F8)))</f>
        <v>Sprache</v>
      </c>
      <c r="D8" s="60" t="s">
        <v>20</v>
      </c>
      <c r="E8" s="60" t="s">
        <v>21</v>
      </c>
      <c r="F8" s="60" t="s">
        <v>22</v>
      </c>
    </row>
    <row r="9" spans="1:6">
      <c r="B9" s="60" t="s">
        <v>23</v>
      </c>
      <c r="C9" s="60" t="str">
        <f>IF(Sprache=Glossary!$D$9,D9,IF(Sprache=Glossary!$E$9,E9,IF(Sprache=Glossary!$F$9,Glossary!F9)))</f>
        <v>DE</v>
      </c>
      <c r="D9" s="60" t="s">
        <v>24</v>
      </c>
      <c r="E9" s="60" t="s">
        <v>25</v>
      </c>
      <c r="F9" s="60" t="s">
        <v>1</v>
      </c>
    </row>
    <row r="10" spans="1:6">
      <c r="B10" s="60" t="s">
        <v>26</v>
      </c>
      <c r="C10" s="60" t="str">
        <f>IF(Sprache=Glossary!$D$9,D10,IF(Sprache=Glossary!$E$9,E10,IF(Sprache=Glossary!$F$9,Glossary!F10)))</f>
        <v>SST-Jahr</v>
      </c>
      <c r="D10" s="60" t="s">
        <v>27</v>
      </c>
      <c r="E10" s="60" t="s">
        <v>28</v>
      </c>
      <c r="F10" s="60" t="s">
        <v>29</v>
      </c>
    </row>
    <row r="11" spans="1:6">
      <c r="B11" s="60" t="s">
        <v>30</v>
      </c>
      <c r="C11" s="60" t="str">
        <f>IF(Sprache=Glossary!$D$9,D11,IF(Sprache=Glossary!$E$9,E11,IF(Sprache=Glossary!$F$9,Glossary!F11)))</f>
        <v>SST-Kennzahlen der letzten fünf Jahre</v>
      </c>
      <c r="D11" s="60" t="s">
        <v>31</v>
      </c>
      <c r="E11" s="60" t="s">
        <v>32</v>
      </c>
      <c r="F11" s="60" t="s">
        <v>33</v>
      </c>
    </row>
    <row r="12" spans="1:6">
      <c r="B12" s="60" t="s">
        <v>34</v>
      </c>
      <c r="C12" s="60" t="str">
        <f>IF(Sprache=Glossary!$D$9,D12,IF(Sprache=Glossary!$E$9,E12,IF(Sprache=Glossary!$F$9,Glossary!F12)))</f>
        <v>Komponenten des SST-Quotienten</v>
      </c>
      <c r="D12" s="60" t="s">
        <v>35</v>
      </c>
      <c r="E12" s="60" t="s">
        <v>36</v>
      </c>
      <c r="F12" s="60" t="s">
        <v>37</v>
      </c>
    </row>
    <row r="13" spans="1:6">
      <c r="B13" s="60" t="s">
        <v>38</v>
      </c>
      <c r="C13" s="60" t="str">
        <f>IF(Sprache=Glossary!$D$9,D13,IF(Sprache=Glossary!$E$9,E13,IF(Sprache=Glossary!$F$9,Glossary!F13)))</f>
        <v>Übersicht RTK</v>
      </c>
      <c r="D13" s="60" t="s">
        <v>39</v>
      </c>
      <c r="E13" s="60" t="s">
        <v>40</v>
      </c>
      <c r="F13" s="60" t="s">
        <v>41</v>
      </c>
    </row>
    <row r="14" spans="1:6">
      <c r="B14" s="60" t="s">
        <v>42</v>
      </c>
      <c r="C14" s="60" t="str">
        <f>IF(Sprache=Glossary!$D$9,D14,IF(Sprache=Glossary!$E$9,E14,IF(Sprache=Glossary!$F$9,Glossary!F14)))</f>
        <v xml:space="preserve">Überleitung aus der geprüften Bilanz </v>
      </c>
      <c r="D14" s="60" t="s">
        <v>43</v>
      </c>
      <c r="E14" s="60" t="s">
        <v>44</v>
      </c>
      <c r="F14" s="60" t="s">
        <v>45</v>
      </c>
    </row>
    <row r="15" spans="1:6">
      <c r="B15" s="60" t="s">
        <v>46</v>
      </c>
      <c r="C15" s="60" t="str">
        <f>IF(Sprache=Glossary!$D$9,D15,IF(Sprache=Glossary!$E$9,E15,IF(Sprache=Glossary!$F$9,Glossary!F15)))</f>
        <v>Übersicht - Zielkapital</v>
      </c>
      <c r="D15" s="60" t="s">
        <v>47</v>
      </c>
      <c r="E15" s="60" t="s">
        <v>48</v>
      </c>
      <c r="F15" s="60" t="s">
        <v>49</v>
      </c>
    </row>
    <row r="16" spans="1:6">
      <c r="B16" s="60" t="s">
        <v>50</v>
      </c>
      <c r="C16" s="60" t="str">
        <f>IF(Sprache=Glossary!$D$9,D16,IF(Sprache=Glossary!$E$9,E16,IF(Sprache=Glossary!$F$9,Glossary!F16)))</f>
        <v xml:space="preserve">Erwartetes finanzielles Ergebnis über risikofreier Verzinsung </v>
      </c>
      <c r="D16" s="60" t="s">
        <v>51</v>
      </c>
      <c r="E16" s="60" t="s">
        <v>52</v>
      </c>
      <c r="F16" s="60" t="s">
        <v>53</v>
      </c>
    </row>
    <row r="17" spans="2:6">
      <c r="B17" s="60" t="s">
        <v>54</v>
      </c>
      <c r="C17" s="60" t="str">
        <f>IF(Sprache=Glossary!$D$9,D17,IF(Sprache=Glossary!$E$9,E17,IF(Sprache=Glossary!$F$9,Glossary!F17)))</f>
        <v>Erwartetes vers. Ergebnis</v>
      </c>
      <c r="D17" s="60" t="s">
        <v>55</v>
      </c>
      <c r="E17" s="60" t="s">
        <v>56</v>
      </c>
      <c r="F17" s="60" t="s">
        <v>57</v>
      </c>
    </row>
    <row r="18" spans="2:6">
      <c r="B18" s="60" t="s">
        <v>58</v>
      </c>
      <c r="C18" s="60" t="str">
        <f>IF(Sprache=Glossary!$D$9,D18,IF(Sprache=Glossary!$E$9,E18,IF(Sprache=Glossary!$F$9,Glossary!F18)))</f>
        <v>Hilfstabellen für den SST-Bericht 2025</v>
      </c>
      <c r="D18" s="60" t="str">
        <f>"Hilfstabellen für den SST-Bericht "&amp; Jahr</f>
        <v>Hilfstabellen für den SST-Bericht 2025</v>
      </c>
      <c r="E18" s="60" t="str">
        <f>"Tables auxiliaires pour le rapport SST "&amp;Jahr</f>
        <v>Tables auxiliaires pour le rapport SST 2025</v>
      </c>
      <c r="F18" s="60" t="str">
        <f>"Auxiliary tables for the SST report "&amp; Jahr</f>
        <v>Auxiliary tables for the SST report 2025</v>
      </c>
    </row>
    <row r="19" spans="2:6">
      <c r="B19" s="60" t="s">
        <v>59</v>
      </c>
      <c r="C19" s="60" t="str">
        <f>IF(Sprache=Glossary!$D$9,D19,IF(Sprache=Glossary!$E$9,E19,IF(Sprache=Glossary!$F$9,Glossary!F19)))</f>
        <v>Bemerkungen</v>
      </c>
      <c r="D19" s="60" t="s">
        <v>60</v>
      </c>
      <c r="E19" s="60" t="s">
        <v>61</v>
      </c>
      <c r="F19" s="60" t="s">
        <v>62</v>
      </c>
    </row>
    <row r="20" spans="2:6">
      <c r="B20" s="60" t="s">
        <v>63</v>
      </c>
      <c r="C20" s="60" t="str">
        <f>IF(Sprache=Glossary!$D$9,D20,IF(Sprache=Glossary!$E$9,E20,IF(Sprache=Glossary!$F$9,Glossary!F20)))</f>
        <v>Bitte führen Sie folgenden Schritt durch, um Ihre Daten in die SST-Berichtstabellen zu laden :</v>
      </c>
      <c r="D20" s="60" t="s">
        <v>64</v>
      </c>
      <c r="E20" s="60" t="s">
        <v>65</v>
      </c>
      <c r="F20" s="60" t="s">
        <v>66</v>
      </c>
    </row>
    <row r="21" spans="2:6">
      <c r="B21" s="60" t="s">
        <v>67</v>
      </c>
      <c r="C21" s="60" t="str">
        <f>IF(Sprache=Glossary!$D$9,D21,IF(Sprache=Glossary!$E$9,E21,IF(Sprache=Glossary!$F$9,Glossary!F21)))</f>
        <v>Das vorliegende Excel-Sheet ist als Hilfsmittel gedacht, um die in der (Opt-In)-Vorlage für den SST-Bericht für Gesellschaften der Kategorie 4 und 5 verlangten Tabellen erstellen zu können.</v>
      </c>
      <c r="D21" s="60" t="s">
        <v>68</v>
      </c>
      <c r="E21" s="60" t="s">
        <v>69</v>
      </c>
      <c r="F21" s="60" t="s">
        <v>70</v>
      </c>
    </row>
    <row r="22" spans="2:6">
      <c r="B22" s="60" t="s">
        <v>71</v>
      </c>
      <c r="C22" s="60" t="str">
        <f>IF(Sprache=Glossary!$D$9,D22,IF(Sprache=Glossary!$E$9,E22,IF(Sprache=Glossary!$F$9,Glossary!F22)))</f>
        <v>&gt; Daten &gt; Bearbeiten von Links</v>
      </c>
      <c r="D22" s="60" t="s">
        <v>72</v>
      </c>
      <c r="E22" s="60" t="s">
        <v>73</v>
      </c>
      <c r="F22" s="86" t="s">
        <v>74</v>
      </c>
    </row>
    <row r="24" spans="2:6">
      <c r="B24" s="199" t="s">
        <v>75</v>
      </c>
      <c r="C24" s="199"/>
      <c r="D24" s="199"/>
      <c r="E24" s="199"/>
      <c r="F24" s="199"/>
    </row>
    <row r="25" spans="2:6">
      <c r="B25" s="200" t="s">
        <v>76</v>
      </c>
      <c r="C25" s="200"/>
      <c r="D25" s="200"/>
      <c r="E25" s="200"/>
      <c r="F25" s="200"/>
    </row>
    <row r="26" spans="2:6">
      <c r="B26" s="60" t="s">
        <v>77</v>
      </c>
      <c r="C26" s="60" t="str">
        <f>IF(Sprache=Glossary!$D$9,D26,IF(Sprache=Glossary!$E$9,E26,IF(Sprache=Glossary!$F$9,Glossary!F26)))</f>
        <v>In %  bzw. Mio.  CHF</v>
      </c>
      <c r="D26" s="72" t="str">
        <f>CONCATENATE("In %  bzw. Mio.  ",Intro!$E$8)</f>
        <v>In %  bzw. Mio.  CHF</v>
      </c>
      <c r="E26" s="73" t="str">
        <f>CONCATENATE("En % ou en millions de ",Intro!$E$8)</f>
        <v>En % ou en millions de CHF</v>
      </c>
      <c r="F26" s="74" t="str">
        <f>CONCATENATE("In % or ",Intro!$E$8," millions")</f>
        <v>In % or CHF millions</v>
      </c>
    </row>
    <row r="27" spans="2:6">
      <c r="B27" s="200" t="s">
        <v>78</v>
      </c>
      <c r="C27" s="200"/>
      <c r="D27" s="200"/>
      <c r="E27" s="200"/>
      <c r="F27" s="200"/>
    </row>
    <row r="28" spans="2:6">
      <c r="B28" s="60" t="s">
        <v>79</v>
      </c>
      <c r="C28" s="60" t="str">
        <f>IF(Sprache=Glossary!$D$9,D28,IF(Sprache=Glossary!$E$9,E28,IF(Sprache=Glossary!$F$9,Glossary!F28)))</f>
        <v>SST-Quotient</v>
      </c>
      <c r="D28" s="60" t="s">
        <v>80</v>
      </c>
      <c r="E28" s="75" t="s">
        <v>81</v>
      </c>
      <c r="F28" s="75" t="s">
        <v>82</v>
      </c>
    </row>
    <row r="29" spans="2:6">
      <c r="B29" s="60" t="s">
        <v>83</v>
      </c>
      <c r="C29" s="60" t="str">
        <f>IF(Sprache=Glossary!$D$9,D29,IF(Sprache=Glossary!$E$9,E29,IF(Sprache=Glossary!$F$9,Glossary!F29)))</f>
        <v>Risikotragendes Kapital (RTK)</v>
      </c>
      <c r="D29" s="60" t="s">
        <v>84</v>
      </c>
      <c r="E29" s="75" t="s">
        <v>85</v>
      </c>
      <c r="F29" s="76" t="s">
        <v>86</v>
      </c>
    </row>
    <row r="30" spans="2:6">
      <c r="B30" s="60" t="s">
        <v>87</v>
      </c>
      <c r="C30" s="60" t="str">
        <f>IF(Sprache=Glossary!$D$9,D30,IF(Sprache=Glossary!$E$9,E30,IF(Sprache=Glossary!$F$9,Glossary!F30)))</f>
        <v>Mindestbetrag (MVM)</v>
      </c>
      <c r="D30" s="60" t="s">
        <v>88</v>
      </c>
      <c r="E30" s="75" t="s">
        <v>89</v>
      </c>
      <c r="F30" s="75" t="s">
        <v>90</v>
      </c>
    </row>
    <row r="31" spans="2:6">
      <c r="B31" s="60" t="s">
        <v>91</v>
      </c>
      <c r="C31" s="60" t="str">
        <f>IF(Sprache=Glossary!$D$9,D31,IF(Sprache=Glossary!$E$9,E31,IF(Sprache=Glossary!$F$9,Glossary!F31)))</f>
        <v>Zielkapital (ZK)</v>
      </c>
      <c r="D31" s="60" t="s">
        <v>92</v>
      </c>
      <c r="E31" s="75" t="s">
        <v>93</v>
      </c>
      <c r="F31" s="75" t="s">
        <v>94</v>
      </c>
    </row>
    <row r="32" spans="2:6">
      <c r="B32" s="60" t="s">
        <v>95</v>
      </c>
      <c r="C32" s="60" t="str">
        <f>IF(Sprache=Glossary!$D$9,D32,IF(Sprache=Glossary!$E$9,E32,IF(Sprache=Glossary!$F$9,Glossary!F32)))</f>
        <v>Erwartetes finanzielles Ergebnis über risikofrei</v>
      </c>
      <c r="D32" s="72" t="s">
        <v>96</v>
      </c>
      <c r="E32" s="73" t="s">
        <v>52</v>
      </c>
      <c r="F32" s="73" t="s">
        <v>97</v>
      </c>
    </row>
    <row r="33" spans="2:6">
      <c r="B33" s="60" t="s">
        <v>98</v>
      </c>
      <c r="C33" s="60" t="str">
        <f>IF(Sprache=Glossary!$D$9,D33,IF(Sprache=Glossary!$E$9,E33,IF(Sprache=Glossary!$F$9,Glossary!F33)))</f>
        <v>Erwartetes versicherungstechnisches Ergebnis</v>
      </c>
      <c r="D33" s="74" t="s">
        <v>99</v>
      </c>
      <c r="E33" s="74" t="s">
        <v>56</v>
      </c>
      <c r="F33" s="74" t="s">
        <v>57</v>
      </c>
    </row>
    <row r="35" spans="2:6">
      <c r="B35" s="198" t="s">
        <v>100</v>
      </c>
      <c r="C35" s="198"/>
      <c r="D35" s="198"/>
      <c r="E35" s="198"/>
      <c r="F35" s="198"/>
    </row>
    <row r="36" spans="2:6">
      <c r="B36" s="197" t="s">
        <v>76</v>
      </c>
      <c r="C36" s="197"/>
      <c r="D36" s="197"/>
      <c r="E36" s="197"/>
      <c r="F36" s="197"/>
    </row>
    <row r="37" spans="2:6">
      <c r="B37" s="60" t="s">
        <v>101</v>
      </c>
      <c r="C37" s="60" t="str">
        <f>IF(Sprache=Glossary!$D$9,D37,IF(Sprache=Glossary!$E$9,E37,IF(Sprache=Glossary!$F$9,Glossary!F37)))</f>
        <v>Mio. CHF</v>
      </c>
      <c r="D37" s="82" t="str">
        <f>CONCATENATE("Mio. ",Intro!$E$8)</f>
        <v>Mio. CHF</v>
      </c>
      <c r="E37" s="74" t="str">
        <f>CONCATENATE("En millions de ",Intro!$E$8)</f>
        <v>En millions de CHF</v>
      </c>
      <c r="F37" s="74" t="str">
        <f>CONCATENATE("In ",Intro!$E$8," millions")</f>
        <v>In CHF millions</v>
      </c>
    </row>
    <row r="38" spans="2:6">
      <c r="B38" s="60" t="s">
        <v>102</v>
      </c>
      <c r="C38" s="60" t="str">
        <f>IF(Sprache=Glossary!$D$9,D38,IF(Sprache=Glossary!$E$9,E38,IF(Sprache=Glossary!$F$9,Glossary!F38)))</f>
        <v>Rel. Diff. Vorjahr</v>
      </c>
      <c r="D38" s="83" t="s">
        <v>103</v>
      </c>
      <c r="E38" s="74" t="s">
        <v>104</v>
      </c>
      <c r="F38" s="74" t="s">
        <v>105</v>
      </c>
    </row>
    <row r="39" spans="2:6">
      <c r="B39" s="60" t="s">
        <v>106</v>
      </c>
      <c r="C39" s="60" t="str">
        <f>IF(Sprache=Glossary!$D$9,D39,IF(Sprache=Glossary!$E$9,E39,IF(Sprache=Glossary!$F$9,Glossary!F39)))</f>
        <v>Anteil ZK</v>
      </c>
      <c r="D39" s="83" t="s">
        <v>107</v>
      </c>
      <c r="E39" s="74" t="s">
        <v>108</v>
      </c>
      <c r="F39" s="74" t="s">
        <v>109</v>
      </c>
    </row>
    <row r="40" spans="2:6">
      <c r="B40" s="60" t="s">
        <v>110</v>
      </c>
      <c r="C40" s="60" t="str">
        <f>IF(Sprache=Glossary!$D$9,D40,IF(Sprache=Glossary!$E$9,E40,IF(Sprache=Glossary!$F$9,Glossary!F40)))</f>
        <v>Rel. Diff. Vorjahr</v>
      </c>
      <c r="D40" s="83" t="s">
        <v>103</v>
      </c>
      <c r="E40" s="74" t="s">
        <v>104</v>
      </c>
      <c r="F40" s="74" t="s">
        <v>105</v>
      </c>
    </row>
    <row r="41" spans="2:6">
      <c r="B41" s="60" t="s">
        <v>111</v>
      </c>
      <c r="C41" s="60" t="str">
        <f>IF(Sprache=Glossary!$D$9,D41,IF(Sprache=Glossary!$E$9,E41,IF(Sprache=Glossary!$F$9,Glossary!F41)))</f>
        <v>Anteil Bilanz- summe SST-Bilanz</v>
      </c>
      <c r="D41" s="83" t="s">
        <v>112</v>
      </c>
      <c r="E41" s="74" t="s">
        <v>113</v>
      </c>
      <c r="F41" s="74" t="s">
        <v>114</v>
      </c>
    </row>
    <row r="42" spans="2:6">
      <c r="B42" s="60" t="s">
        <v>115</v>
      </c>
      <c r="C42" s="60" t="str">
        <f>IF(Sprache=Glossary!$D$9,D42,IF(Sprache=Glossary!$E$9,E42,IF(Sprache=Glossary!$F$9,Glossary!F42)))</f>
        <v>Rel. Diff. Vorjahr</v>
      </c>
      <c r="D42" s="83" t="s">
        <v>103</v>
      </c>
      <c r="E42" s="74" t="s">
        <v>104</v>
      </c>
      <c r="F42" s="74" t="s">
        <v>105</v>
      </c>
    </row>
    <row r="43" spans="2:6">
      <c r="B43" s="60" t="s">
        <v>116</v>
      </c>
      <c r="C43" s="60" t="str">
        <f>IF(Sprache=Glossary!$D$9,D43,IF(Sprache=Glossary!$E$9,E43,IF(Sprache=Glossary!$F$9,Glossary!F43)))</f>
        <v>Mio. CHF</v>
      </c>
      <c r="D43" s="82" t="str">
        <f>CONCATENATE("Mio. ",Intro!$E$8)</f>
        <v>Mio. CHF</v>
      </c>
      <c r="E43" s="74" t="str">
        <f>CONCATENATE("En millions de ",Intro!$E$8)</f>
        <v>En millions de CHF</v>
      </c>
      <c r="F43" s="74" t="str">
        <f>CONCATENATE("In ",Intro!$E$8," millions")</f>
        <v>In CHF millions</v>
      </c>
    </row>
    <row r="44" spans="2:6">
      <c r="B44" s="60" t="s">
        <v>117</v>
      </c>
      <c r="C44" s="60" t="str">
        <f>IF(Sprache=Glossary!$D$9,D44,IF(Sprache=Glossary!$E$9,E44,IF(Sprache=Glossary!$F$9,Glossary!F44)))</f>
        <v>Anteil ZK</v>
      </c>
      <c r="D44" s="83" t="s">
        <v>107</v>
      </c>
      <c r="E44" s="74" t="s">
        <v>108</v>
      </c>
      <c r="F44" s="74" t="s">
        <v>109</v>
      </c>
    </row>
    <row r="45" spans="2:6">
      <c r="B45" s="60" t="s">
        <v>118</v>
      </c>
      <c r="C45" s="60" t="str">
        <f>IF(Sprache=Glossary!$D$9,D45,IF(Sprache=Glossary!$E$9,E45,IF(Sprache=Glossary!$F$9,Glossary!F45)))</f>
        <v>Anteil Bilanz- summe SST-Bilanz</v>
      </c>
      <c r="D45" s="83" t="s">
        <v>112</v>
      </c>
      <c r="E45" s="74" t="s">
        <v>113</v>
      </c>
      <c r="F45" s="74" t="s">
        <v>114</v>
      </c>
    </row>
    <row r="46" spans="2:6">
      <c r="B46" s="200" t="s">
        <v>78</v>
      </c>
      <c r="C46" s="200"/>
      <c r="D46" s="200"/>
      <c r="E46" s="200"/>
      <c r="F46" s="200"/>
    </row>
    <row r="47" spans="2:6" ht="13" customHeight="1">
      <c r="B47" s="60" t="s">
        <v>119</v>
      </c>
      <c r="C47" s="60" t="str">
        <f>IF(Sprache=Glossary!$D$9,D47,IF(Sprache=Glossary!$E$9,E47,IF(Sprache=Glossary!$F$9,Glossary!F47)))</f>
        <v xml:space="preserve">Vorzeichenkonvention:
RTK = Aktiven -  Verbindlichkeiten + (Abzüge und RAK) ;
ZK = Summe der Komponenten;
</v>
      </c>
      <c r="D47" s="60" t="s">
        <v>120</v>
      </c>
      <c r="E47" s="60" t="s">
        <v>121</v>
      </c>
      <c r="F47" s="72" t="s">
        <v>1000</v>
      </c>
    </row>
    <row r="48" spans="2:6">
      <c r="B48" s="60" t="s">
        <v>122</v>
      </c>
      <c r="C48" s="60" t="str">
        <f>IF(Sprache=Glossary!$D$9,D48,IF(Sprache=Glossary!$E$9,E48,IF(Sprache=Glossary!$F$9,Glossary!F48)))</f>
        <v>RTK minus MVM</v>
      </c>
      <c r="D48" s="60" t="s">
        <v>123</v>
      </c>
      <c r="E48" s="76" t="s">
        <v>124</v>
      </c>
      <c r="F48" s="76" t="s">
        <v>125</v>
      </c>
    </row>
    <row r="49" spans="2:6">
      <c r="B49" s="60" t="s">
        <v>126</v>
      </c>
      <c r="C49" s="60" t="str">
        <f>IF(Sprache=Glossary!$D$9,D49,IF(Sprache=Glossary!$E$9,E49,IF(Sprache=Glossary!$F$9,Glossary!F49)))</f>
        <v>Einjahresrisikokapital (SCR)</v>
      </c>
      <c r="D49" s="60" t="s">
        <v>127</v>
      </c>
      <c r="E49" s="76" t="s">
        <v>128</v>
      </c>
      <c r="F49" s="76" t="s">
        <v>129</v>
      </c>
    </row>
    <row r="50" spans="2:6">
      <c r="B50" s="60" t="s">
        <v>130</v>
      </c>
      <c r="C50" s="60" t="str">
        <f>IF(Sprache=Glossary!$D$9,D50,IF(Sprache=Glossary!$E$9,E50,IF(Sprache=Glossary!$F$9,Glossary!F50)))</f>
        <v>Überschuss (RTK minus ZK)</v>
      </c>
      <c r="D50" s="60" t="s">
        <v>131</v>
      </c>
      <c r="E50" s="76" t="s">
        <v>132</v>
      </c>
      <c r="F50" s="76" t="s">
        <v>133</v>
      </c>
    </row>
    <row r="51" spans="2:6">
      <c r="B51" s="60" t="s">
        <v>134</v>
      </c>
      <c r="C51" s="60" t="str">
        <f>IF(Sprache=Glossary!$D$9,D51,IF(Sprache=Glossary!$E$9,E51,IF(Sprache=Glossary!$F$9,Glossary!F51)))</f>
        <v>Risikotragendes Kapital (RTK)</v>
      </c>
      <c r="D51" s="60" t="s">
        <v>84</v>
      </c>
      <c r="E51" s="76" t="s">
        <v>85</v>
      </c>
      <c r="F51" s="76" t="s">
        <v>86</v>
      </c>
    </row>
    <row r="52" spans="2:6">
      <c r="B52" s="60" t="s">
        <v>135</v>
      </c>
      <c r="C52" s="60" t="str">
        <f>IF(Sprache=Glossary!$D$9,D52,IF(Sprache=Glossary!$E$9,E52,IF(Sprache=Glossary!$F$9,Glossary!F52)))</f>
        <v>Marktkonformer Wert der Aktiven</v>
      </c>
      <c r="D52" s="60" t="s">
        <v>136</v>
      </c>
      <c r="E52" s="60" t="s">
        <v>137</v>
      </c>
      <c r="F52" s="60" t="s">
        <v>138</v>
      </c>
    </row>
    <row r="53" spans="2:6">
      <c r="B53" s="60" t="s">
        <v>139</v>
      </c>
      <c r="C53" s="60" t="str">
        <f>IF(Sprache=Glossary!$D$9,D53,IF(Sprache=Glossary!$E$9,E53,IF(Sprache=Glossary!$F$9,Glossary!F53)))</f>
        <v>Verbindlichkeiten</v>
      </c>
      <c r="D53" s="60" t="s">
        <v>140</v>
      </c>
      <c r="E53" s="60" t="s">
        <v>141</v>
      </c>
      <c r="F53" s="60" t="s">
        <v>142</v>
      </c>
    </row>
    <row r="54" spans="2:6">
      <c r="B54" s="60" t="s">
        <v>143</v>
      </c>
      <c r="C54" s="60" t="str">
        <f>IF(Sprache=Glossary!$D$9,D54,IF(Sprache=Glossary!$E$9,E54,IF(Sprache=Glossary!$F$9,Glossary!F54)))</f>
        <v xml:space="preserve"> davon Mindestbetrag (MVM)</v>
      </c>
      <c r="D54" s="60" t="s">
        <v>144</v>
      </c>
      <c r="E54" s="60" t="s">
        <v>145</v>
      </c>
      <c r="F54" s="60" t="s">
        <v>146</v>
      </c>
    </row>
    <row r="55" spans="2:6">
      <c r="B55" s="60" t="s">
        <v>147</v>
      </c>
      <c r="C55" s="60" t="str">
        <f>IF(Sprache=Glossary!$D$9,D55,IF(Sprache=Glossary!$E$9,E55,IF(Sprache=Glossary!$F$9,Glossary!F55)))</f>
        <v>Abzüge und risikoabsorbierende Kapitalinstrumente (RAK)</v>
      </c>
      <c r="D55" s="60" t="s">
        <v>998</v>
      </c>
      <c r="E55" s="60" t="s">
        <v>148</v>
      </c>
      <c r="F55" s="60" t="s">
        <v>999</v>
      </c>
    </row>
    <row r="56" spans="2:6">
      <c r="B56" s="60" t="s">
        <v>149</v>
      </c>
      <c r="C56" s="60" t="str">
        <f>IF(Sprache=Glossary!$D$9,D56,IF(Sprache=Glossary!$E$9,E56,IF(Sprache=Glossary!$F$9,Glossary!F56)))</f>
        <v>Zielkapital (ZK)</v>
      </c>
      <c r="D56" s="60" t="s">
        <v>92</v>
      </c>
      <c r="E56" s="76" t="s">
        <v>93</v>
      </c>
      <c r="F56" s="76" t="s">
        <v>94</v>
      </c>
    </row>
    <row r="57" spans="2:6">
      <c r="B57" s="60" t="s">
        <v>150</v>
      </c>
      <c r="C57" s="60" t="str">
        <f>IF(Sprache=Glossary!$D$9,D57,IF(Sprache=Glossary!$E$9,E57,IF(Sprache=Glossary!$F$9,Glossary!F57)))</f>
        <v xml:space="preserve"> Marktrisiko</v>
      </c>
      <c r="D57" s="60" t="s">
        <v>151</v>
      </c>
      <c r="E57" s="76" t="s">
        <v>152</v>
      </c>
      <c r="F57" s="76" t="s">
        <v>153</v>
      </c>
    </row>
    <row r="58" spans="2:6">
      <c r="B58" s="60" t="s">
        <v>154</v>
      </c>
      <c r="C58" s="60" t="str">
        <f>IF(Sprache=Glossary!$D$9,D58,IF(Sprache=Glossary!$E$9,E58,IF(Sprache=Glossary!$F$9,Glossary!F58)))</f>
        <v xml:space="preserve"> Kreditrisiko</v>
      </c>
      <c r="D58" s="60" t="s">
        <v>155</v>
      </c>
      <c r="E58" s="76" t="s">
        <v>156</v>
      </c>
      <c r="F58" s="76" t="s">
        <v>157</v>
      </c>
    </row>
    <row r="59" spans="2:6">
      <c r="B59" s="60" t="s">
        <v>158</v>
      </c>
      <c r="C59" s="60" t="str">
        <f>IF(Sprache=Glossary!$D$9,D59,IF(Sprache=Glossary!$E$9,E59,IF(Sprache=Glossary!$F$9,Glossary!F59)))</f>
        <v xml:space="preserve"> Versicherungsrisiko</v>
      </c>
      <c r="D59" s="60" t="s">
        <v>159</v>
      </c>
      <c r="E59" s="76" t="s">
        <v>160</v>
      </c>
      <c r="F59" s="76" t="s">
        <v>161</v>
      </c>
    </row>
    <row r="60" spans="2:6">
      <c r="B60" s="60" t="s">
        <v>162</v>
      </c>
      <c r="C60" s="60" t="str">
        <f>IF(Sprache=Glossary!$D$9,D60,IF(Sprache=Glossary!$E$9,E60,IF(Sprache=Glossary!$F$9,Glossary!F60)))</f>
        <v xml:space="preserve"> Diversifikationseffekt</v>
      </c>
      <c r="D60" s="60" t="s">
        <v>163</v>
      </c>
      <c r="E60" s="76" t="s">
        <v>164</v>
      </c>
      <c r="F60" s="76" t="s">
        <v>165</v>
      </c>
    </row>
    <row r="61" spans="2:6">
      <c r="B61" s="60" t="s">
        <v>166</v>
      </c>
      <c r="C61" s="60" t="str">
        <f>IF(Sprache=Glossary!$D$9,D61,IF(Sprache=Glossary!$E$9,E61,IF(Sprache=Glossary!$F$9,Glossary!F61)))</f>
        <v xml:space="preserve"> Negative des erwarteteten finanz. Ergebnisses </v>
      </c>
      <c r="D61" s="60" t="s">
        <v>167</v>
      </c>
      <c r="E61" s="76" t="s">
        <v>168</v>
      </c>
      <c r="F61" s="76" t="s">
        <v>169</v>
      </c>
    </row>
    <row r="62" spans="2:6">
      <c r="B62" s="60" t="s">
        <v>170</v>
      </c>
      <c r="C62" s="60" t="str">
        <f>IF(Sprache=Glossary!$D$9,D62,IF(Sprache=Glossary!$E$9,E62,IF(Sprache=Glossary!$F$9,Glossary!F62)))</f>
        <v xml:space="preserve"> Negative des erwarteteten vers. Ergebnisses</v>
      </c>
      <c r="D62" s="60" t="s">
        <v>171</v>
      </c>
      <c r="E62" s="76" t="s">
        <v>172</v>
      </c>
      <c r="F62" s="76" t="s">
        <v>173</v>
      </c>
    </row>
    <row r="63" spans="2:6">
      <c r="B63" s="60" t="s">
        <v>174</v>
      </c>
      <c r="C63" s="60" t="str">
        <f>IF(Sprache=Glossary!$D$9,D63,IF(Sprache=Glossary!$E$9,E63,IF(Sprache=Glossary!$F$9,Glossary!F63)))</f>
        <v xml:space="preserve"> Szenarieneffekt</v>
      </c>
      <c r="D63" s="60" t="s">
        <v>175</v>
      </c>
      <c r="E63" s="76" t="s">
        <v>176</v>
      </c>
      <c r="F63" s="76" t="s">
        <v>177</v>
      </c>
    </row>
    <row r="64" spans="2:6">
      <c r="B64" s="60" t="s">
        <v>178</v>
      </c>
      <c r="C64" s="60" t="str">
        <f>IF(Sprache=Glossary!$D$9,D64,IF(Sprache=Glossary!$E$9,E64,IF(Sprache=Glossary!$F$9,Glossary!F64)))</f>
        <v xml:space="preserve"> Zusätzliche Effekte</v>
      </c>
      <c r="D64" s="60" t="s">
        <v>179</v>
      </c>
      <c r="E64" s="76" t="s">
        <v>180</v>
      </c>
      <c r="F64" s="76" t="s">
        <v>181</v>
      </c>
    </row>
    <row r="65" spans="2:6">
      <c r="B65" s="60" t="s">
        <v>182</v>
      </c>
      <c r="C65" s="60" t="str">
        <f>IF(Sprache=Glossary!$D$9,D65,IF(Sprache=Glossary!$E$9,E65,IF(Sprache=Glossary!$F$9,Glossary!F65)))</f>
        <v xml:space="preserve"> Mindestbetrag (MVM)</v>
      </c>
      <c r="D65" s="60" t="s">
        <v>183</v>
      </c>
      <c r="E65" s="76" t="s">
        <v>184</v>
      </c>
      <c r="F65" s="76" t="s">
        <v>185</v>
      </c>
    </row>
    <row r="67" spans="2:6">
      <c r="B67" s="198" t="s">
        <v>186</v>
      </c>
      <c r="C67" s="198"/>
      <c r="D67" s="198"/>
      <c r="E67" s="198"/>
      <c r="F67" s="198"/>
    </row>
    <row r="68" spans="2:6">
      <c r="B68" s="197" t="s">
        <v>76</v>
      </c>
      <c r="C68" s="197"/>
      <c r="D68" s="197"/>
      <c r="E68" s="197"/>
      <c r="F68" s="197"/>
    </row>
    <row r="69" spans="2:6">
      <c r="B69" s="60" t="s">
        <v>187</v>
      </c>
      <c r="C69" s="60" t="str">
        <f>IF(Sprache=Glossary!$D$9,D69,IF(Sprache=Glossary!$E$9,E69,IF(Sprache=Glossary!$F$9,Glossary!F69)))</f>
        <v>Mio. CHF</v>
      </c>
      <c r="D69" s="82" t="str">
        <f>CONCATENATE("Mio. ",Intro!$E$8)</f>
        <v>Mio. CHF</v>
      </c>
      <c r="E69" s="74" t="str">
        <f>CONCATENATE("En millions de ",Intro!$E$8)</f>
        <v>En millions de CHF</v>
      </c>
      <c r="F69" s="74" t="str">
        <f>CONCATENATE("In ",Intro!$E$8," millions")</f>
        <v>In CHF millions</v>
      </c>
    </row>
    <row r="70" spans="2:6">
      <c r="B70" s="60" t="s">
        <v>188</v>
      </c>
      <c r="C70" s="60" t="str">
        <f>IF(Sprache=Glossary!$D$9,D70,IF(Sprache=Glossary!$E$9,E70,IF(Sprache=Glossary!$F$9,Glossary!F70)))</f>
        <v>Rel. Diff. Vorjahr</v>
      </c>
      <c r="D70" s="83" t="s">
        <v>103</v>
      </c>
      <c r="E70" s="74" t="s">
        <v>104</v>
      </c>
      <c r="F70" s="74" t="s">
        <v>105</v>
      </c>
    </row>
    <row r="71" spans="2:6">
      <c r="B71" s="60" t="s">
        <v>189</v>
      </c>
      <c r="C71" s="60" t="str">
        <f>IF(Sprache=Glossary!$D$9,D71,IF(Sprache=Glossary!$E$9,E71,IF(Sprache=Glossary!$F$9,Glossary!F71)))</f>
        <v>Anteil Bilanz- summe SST-Bilanz</v>
      </c>
      <c r="D71" s="83" t="s">
        <v>112</v>
      </c>
      <c r="E71" s="74" t="s">
        <v>113</v>
      </c>
      <c r="F71" s="74" t="s">
        <v>114</v>
      </c>
    </row>
    <row r="72" spans="2:6">
      <c r="B72" s="60" t="s">
        <v>190</v>
      </c>
      <c r="C72" s="60" t="str">
        <f>IF(Sprache=Glossary!$D$9,D72,IF(Sprache=Glossary!$E$9,E72,IF(Sprache=Glossary!$F$9,Glossary!F72)))</f>
        <v>Rel. Diff. Vorjahr</v>
      </c>
      <c r="D72" s="83" t="s">
        <v>103</v>
      </c>
      <c r="E72" s="84" t="s">
        <v>104</v>
      </c>
      <c r="F72" s="74" t="s">
        <v>105</v>
      </c>
    </row>
    <row r="73" spans="2:6">
      <c r="B73" s="60" t="s">
        <v>191</v>
      </c>
      <c r="C73" s="60" t="str">
        <f>IF(Sprache=Glossary!$D$9,D73,IF(Sprache=Glossary!$E$9,E73,IF(Sprache=Glossary!$F$9,Glossary!F73)))</f>
        <v>Mio. CHF</v>
      </c>
      <c r="D73" s="82" t="str">
        <f>CONCATENATE("Mio. ",Intro!$E$8)</f>
        <v>Mio. CHF</v>
      </c>
      <c r="E73" s="85" t="str">
        <f>CONCATENATE("En millions de ",Intro!$E$8)</f>
        <v>En millions de CHF</v>
      </c>
      <c r="F73" s="74" t="str">
        <f>CONCATENATE("In ",Intro!$E$8," millions")</f>
        <v>In CHF millions</v>
      </c>
    </row>
    <row r="74" spans="2:6">
      <c r="B74" s="60" t="s">
        <v>192</v>
      </c>
      <c r="C74" s="60" t="str">
        <f>IF(Sprache=Glossary!$D$9,D74,IF(Sprache=Glossary!$E$9,E74,IF(Sprache=Glossary!$F$9,Glossary!F74)))</f>
        <v>Anteil Bilanz- summe SST-Bilanz</v>
      </c>
      <c r="D74" s="83" t="s">
        <v>112</v>
      </c>
      <c r="E74" s="74" t="s">
        <v>113</v>
      </c>
      <c r="F74" s="74" t="s">
        <v>114</v>
      </c>
    </row>
    <row r="76" spans="2:6">
      <c r="B76" s="197" t="s">
        <v>78</v>
      </c>
      <c r="C76" s="197"/>
      <c r="D76" s="197"/>
      <c r="E76" s="197"/>
      <c r="F76" s="197"/>
    </row>
    <row r="77" spans="2:6">
      <c r="B77" s="60" t="s">
        <v>193</v>
      </c>
      <c r="C77" s="60" t="str">
        <f>IF(Sprache=Glossary!$D$9,D77,IF(Sprache=Glossary!$E$9,E77,IF(Sprache=Glossary!$F$9,Glossary!F77)))</f>
        <v>Vorzeichenkonvention:  
RTK = Aktiven - Verbindlichkeiten + Abzüge + RAK</v>
      </c>
      <c r="D77" s="60" t="s">
        <v>194</v>
      </c>
      <c r="E77" s="60" t="s">
        <v>195</v>
      </c>
      <c r="F77" s="60" t="s">
        <v>196</v>
      </c>
    </row>
    <row r="78" spans="2:6">
      <c r="B78" s="60" t="s">
        <v>197</v>
      </c>
      <c r="C78" s="60" t="str">
        <f>IF(Sprache=Glossary!$D$9,D78,IF(Sprache=Glossary!$E$9,E78,IF(Sprache=Glossary!$F$9,Glossary!F78)))</f>
        <v>Risikotragendes Kapital (RTK)</v>
      </c>
      <c r="D78" s="60" t="s">
        <v>84</v>
      </c>
      <c r="E78" s="60" t="s">
        <v>85</v>
      </c>
      <c r="F78" s="60" t="s">
        <v>86</v>
      </c>
    </row>
    <row r="79" spans="2:6">
      <c r="B79" s="60" t="s">
        <v>198</v>
      </c>
      <c r="C79" s="60" t="str">
        <f>IF(Sprache=Glossary!$D$9,D79,IF(Sprache=Glossary!$E$9,E79,IF(Sprache=Glossary!$F$9,Glossary!F79)))</f>
        <v>Marktkonformer Wert Aktiven</v>
      </c>
      <c r="D79" s="60" t="s">
        <v>199</v>
      </c>
      <c r="E79" s="60" t="s">
        <v>200</v>
      </c>
      <c r="F79" s="60" t="s">
        <v>138</v>
      </c>
    </row>
    <row r="80" spans="2:6">
      <c r="B80" s="60" t="s">
        <v>201</v>
      </c>
      <c r="C80" s="60" t="str">
        <f>IF(Sprache=Glossary!$D$9,D80,IF(Sprache=Glossary!$E$9,E80,IF(Sprache=Glossary!$F$9,Glossary!F80)))</f>
        <v xml:space="preserve">    Kapitalanlagen</v>
      </c>
      <c r="D80" s="60" t="s">
        <v>202</v>
      </c>
      <c r="E80" s="60" t="s">
        <v>203</v>
      </c>
      <c r="F80" s="60" t="s">
        <v>204</v>
      </c>
    </row>
    <row r="81" spans="2:6">
      <c r="B81" s="60" t="s">
        <v>205</v>
      </c>
      <c r="C81" s="60" t="str">
        <f>IF(Sprache=Glossary!$D$9,D81,IF(Sprache=Glossary!$E$9,E81,IF(Sprache=Glossary!$F$9,Glossary!F81)))</f>
        <v xml:space="preserve">    davon Anteil versicherungstechnische Rückstellungen aus Rückversicherung</v>
      </c>
      <c r="D81" s="60" t="s">
        <v>206</v>
      </c>
      <c r="E81" s="60" t="s">
        <v>207</v>
      </c>
      <c r="F81" s="60" t="s">
        <v>208</v>
      </c>
    </row>
    <row r="82" spans="2:6">
      <c r="B82" s="60" t="s">
        <v>209</v>
      </c>
      <c r="C82" s="60" t="str">
        <f>IF(Sprache=Glossary!$D$9,D82,IF(Sprache=Glossary!$E$9,E82,IF(Sprache=Glossary!$F$9,Glossary!F82)))</f>
        <v xml:space="preserve">    Übrige Aktiven</v>
      </c>
      <c r="D82" s="60" t="s">
        <v>210</v>
      </c>
      <c r="E82" s="60" t="s">
        <v>211</v>
      </c>
      <c r="F82" s="60" t="s">
        <v>212</v>
      </c>
    </row>
    <row r="83" spans="2:6">
      <c r="B83" s="60" t="s">
        <v>213</v>
      </c>
      <c r="C83" s="60" t="str">
        <f>IF(Sprache=Glossary!$D$9,D83,IF(Sprache=Glossary!$E$9,E83,IF(Sprache=Glossary!$F$9,Glossary!F83)))</f>
        <v>Verbindlichkeiten</v>
      </c>
      <c r="D83" s="60" t="s">
        <v>140</v>
      </c>
      <c r="E83" s="60" t="s">
        <v>214</v>
      </c>
      <c r="F83" s="60" t="s">
        <v>215</v>
      </c>
    </row>
    <row r="84" spans="2:6">
      <c r="B84" s="60" t="s">
        <v>216</v>
      </c>
      <c r="C84" s="60" t="str">
        <f>IF(Sprache=Glossary!$D$9,D84,IF(Sprache=Glossary!$E$9,E84,IF(Sprache=Glossary!$F$9,Glossary!F84)))</f>
        <v xml:space="preserve">    Best Estimate der Versicherungsverpflichtungen</v>
      </c>
      <c r="D84" s="60" t="s">
        <v>217</v>
      </c>
      <c r="E84" s="60" t="s">
        <v>218</v>
      </c>
      <c r="F84" s="60" t="s">
        <v>219</v>
      </c>
    </row>
    <row r="85" spans="2:6">
      <c r="B85" s="60" t="s">
        <v>220</v>
      </c>
      <c r="C85" s="60" t="str">
        <f>IF(Sprache=Glossary!$D$9,D85,IF(Sprache=Glossary!$E$9,E85,IF(Sprache=Glossary!$F$9,Glossary!F85)))</f>
        <v xml:space="preserve">    Mindestbetrag (MVM)</v>
      </c>
      <c r="D85" s="60" t="s">
        <v>221</v>
      </c>
      <c r="E85" s="60" t="s">
        <v>222</v>
      </c>
      <c r="F85" s="60" t="s">
        <v>223</v>
      </c>
    </row>
    <row r="86" spans="2:6">
      <c r="B86" s="60" t="s">
        <v>224</v>
      </c>
      <c r="C86" s="60" t="str">
        <f>IF(Sprache=Glossary!$D$9,D86,IF(Sprache=Glossary!$E$9,E86,IF(Sprache=Glossary!$F$9,Glossary!F86)))</f>
        <v xml:space="preserve">    Marktkonformer Wert der übrigen Verbindlichkeiten</v>
      </c>
      <c r="D86" s="60" t="s">
        <v>225</v>
      </c>
      <c r="E86" s="60" t="s">
        <v>226</v>
      </c>
      <c r="F86" s="60" t="s">
        <v>227</v>
      </c>
    </row>
    <row r="87" spans="2:6">
      <c r="B87" s="60" t="s">
        <v>228</v>
      </c>
      <c r="C87" s="60" t="str">
        <f>IF(Sprache=Glossary!$D$9,D87,IF(Sprache=Glossary!$E$9,E87,IF(Sprache=Glossary!$F$9,Glossary!F87)))</f>
        <v>Abzüge</v>
      </c>
      <c r="D87" s="60" t="s">
        <v>229</v>
      </c>
      <c r="E87" s="60" t="s">
        <v>230</v>
      </c>
      <c r="F87" s="60" t="s">
        <v>231</v>
      </c>
    </row>
    <row r="88" spans="2:6">
      <c r="B88" s="60" t="s">
        <v>232</v>
      </c>
      <c r="C88" s="60" t="str">
        <f>IF(Sprache=Glossary!$D$9,D88,IF(Sprache=Glossary!$E$9,E88,IF(Sprache=Glossary!$F$9,Glossary!F88)))</f>
        <v>RAK (im RTK angerechnet)</v>
      </c>
      <c r="D88" s="60" t="s">
        <v>233</v>
      </c>
      <c r="E88" s="60" t="s">
        <v>234</v>
      </c>
      <c r="F88" s="60" t="s">
        <v>235</v>
      </c>
    </row>
    <row r="90" spans="2:6">
      <c r="B90" s="198" t="s">
        <v>236</v>
      </c>
      <c r="C90" s="198"/>
      <c r="D90" s="198"/>
      <c r="E90" s="198"/>
      <c r="F90" s="198"/>
    </row>
    <row r="91" spans="2:6">
      <c r="B91" s="197" t="s">
        <v>76</v>
      </c>
      <c r="C91" s="197"/>
      <c r="D91" s="197"/>
      <c r="E91" s="197"/>
      <c r="F91" s="197"/>
    </row>
    <row r="92" spans="2:6">
      <c r="B92" s="60" t="s">
        <v>237</v>
      </c>
      <c r="C92" s="60" t="str">
        <f>IF(Sprache=Glossary!$D$9,D92,IF(Sprache=Glossary!$E$9,E92,IF(Sprache=Glossary!$F$9,Glossary!F92)))</f>
        <v>Mio. CHF</v>
      </c>
      <c r="D92" s="82" t="str">
        <f>CONCATENATE("Mio. ",Intro!$E$8)</f>
        <v>Mio. CHF</v>
      </c>
      <c r="E92" s="74" t="str">
        <f>CONCATENATE("En millions de ",Intro!$E$8)</f>
        <v>En millions de CHF</v>
      </c>
      <c r="F92" s="74" t="str">
        <f>CONCATENATE("In ",Intro!$E$8," millions")</f>
        <v>In CHF millions</v>
      </c>
    </row>
    <row r="93" spans="2:6">
      <c r="B93" s="60" t="s">
        <v>238</v>
      </c>
      <c r="C93" s="60" t="str">
        <f>IF(Sprache=Glossary!$D$9,D93,IF(Sprache=Glossary!$E$9,E93,IF(Sprache=Glossary!$F$9,Glossary!F93)))</f>
        <v>Rel. Diff. Vorjahr</v>
      </c>
      <c r="D93" s="83" t="s">
        <v>103</v>
      </c>
      <c r="E93" s="74" t="s">
        <v>239</v>
      </c>
      <c r="F93" s="74" t="s">
        <v>105</v>
      </c>
    </row>
    <row r="94" spans="2:6">
      <c r="B94" s="60" t="s">
        <v>240</v>
      </c>
      <c r="C94" s="60" t="str">
        <f>IF(Sprache=Glossary!$D$9,D94,IF(Sprache=Glossary!$E$9,E94,IF(Sprache=Glossary!$F$9,Glossary!F94)))</f>
        <v>Anteil ZK</v>
      </c>
      <c r="D94" s="83" t="s">
        <v>107</v>
      </c>
      <c r="E94" s="74" t="s">
        <v>108</v>
      </c>
      <c r="F94" s="74" t="s">
        <v>109</v>
      </c>
    </row>
    <row r="95" spans="2:6">
      <c r="B95" s="60" t="s">
        <v>241</v>
      </c>
      <c r="C95" s="60" t="str">
        <f>IF(Sprache=Glossary!$D$9,D95,IF(Sprache=Glossary!$E$9,E95,IF(Sprache=Glossary!$F$9,Glossary!F95)))</f>
        <v>Rel. Diff. Vorjahr</v>
      </c>
      <c r="D95" s="83" t="s">
        <v>103</v>
      </c>
      <c r="E95" s="74" t="s">
        <v>239</v>
      </c>
      <c r="F95" s="74" t="s">
        <v>105</v>
      </c>
    </row>
    <row r="96" spans="2:6">
      <c r="B96" s="60" t="s">
        <v>242</v>
      </c>
      <c r="C96" s="60" t="str">
        <f>IF(Sprache=Glossary!$D$9,D96,IF(Sprache=Glossary!$E$9,E96,IF(Sprache=Glossary!$F$9,Glossary!F96)))</f>
        <v>Mio. CHF</v>
      </c>
      <c r="D96" s="82" t="str">
        <f>CONCATENATE("Mio. ",Intro!$E$8)</f>
        <v>Mio. CHF</v>
      </c>
      <c r="E96" s="74" t="str">
        <f>CONCATENATE("En millions de ",Intro!$E$8)</f>
        <v>En millions de CHF</v>
      </c>
      <c r="F96" s="74" t="str">
        <f>CONCATENATE("In ",Intro!$E$8," millions")</f>
        <v>In CHF millions</v>
      </c>
    </row>
    <row r="97" spans="2:6">
      <c r="B97" s="60" t="s">
        <v>243</v>
      </c>
      <c r="C97" s="60" t="str">
        <f>IF(Sprache=Glossary!$D$9,D97,IF(Sprache=Glossary!$E$9,E97,IF(Sprache=Glossary!$F$9,Glossary!F97)))</f>
        <v>Anteil ZK</v>
      </c>
      <c r="D97" s="83" t="s">
        <v>107</v>
      </c>
      <c r="E97" s="74" t="s">
        <v>108</v>
      </c>
      <c r="F97" s="74" t="s">
        <v>109</v>
      </c>
    </row>
    <row r="99" spans="2:6">
      <c r="B99" s="197" t="s">
        <v>78</v>
      </c>
      <c r="C99" s="197"/>
      <c r="D99" s="197"/>
      <c r="E99" s="197"/>
      <c r="F99" s="197"/>
    </row>
    <row r="100" spans="2:6">
      <c r="B100" s="60" t="s">
        <v>244</v>
      </c>
      <c r="C100" s="60" t="str">
        <f>IF(Sprache=Glossary!$D$9,D100,IF(Sprache=Glossary!$E$9,E100,IF(Sprache=Glossary!$F$9,Glossary!F100)))</f>
        <v>Vorzeichenkonvention:
ZK = Summe der Komponente;</v>
      </c>
      <c r="D100" s="60" t="s">
        <v>245</v>
      </c>
      <c r="E100" s="60" t="s">
        <v>246</v>
      </c>
      <c r="F100" s="60" t="s">
        <v>247</v>
      </c>
    </row>
    <row r="101" spans="2:6">
      <c r="B101" s="60" t="s">
        <v>248</v>
      </c>
      <c r="C101" s="60" t="str">
        <f>IF(Sprache=Glossary!$D$9,D101,IF(Sprache=Glossary!$E$9,E101,IF(Sprache=Glossary!$F$9,Glossary!F101)))</f>
        <v>Einjahresrisikokapital (SCR)</v>
      </c>
      <c r="D101" s="60" t="s">
        <v>127</v>
      </c>
      <c r="E101" s="76" t="s">
        <v>128</v>
      </c>
      <c r="F101" s="76" t="s">
        <v>129</v>
      </c>
    </row>
    <row r="102" spans="2:6">
      <c r="B102" s="60" t="s">
        <v>249</v>
      </c>
      <c r="C102" s="60" t="str">
        <f>IF(Sprache=Glossary!$D$9,D102,IF(Sprache=Glossary!$E$9,E102,IF(Sprache=Glossary!$F$9,Glossary!F102)))</f>
        <v>Zielkapital (ZK)</v>
      </c>
      <c r="D102" s="60" t="s">
        <v>92</v>
      </c>
      <c r="E102" s="76" t="s">
        <v>93</v>
      </c>
      <c r="F102" s="76" t="s">
        <v>94</v>
      </c>
    </row>
    <row r="103" spans="2:6">
      <c r="B103" s="60" t="s">
        <v>250</v>
      </c>
      <c r="C103" s="60" t="str">
        <f>IF(Sprache=Glossary!$D$9,D103,IF(Sprache=Glossary!$E$9,E103,IF(Sprache=Glossary!$F$9,Glossary!F103)))</f>
        <v xml:space="preserve"> Marktrisiko</v>
      </c>
      <c r="D103" s="60" t="s">
        <v>151</v>
      </c>
      <c r="E103" s="76" t="s">
        <v>152</v>
      </c>
      <c r="F103" s="76" t="s">
        <v>153</v>
      </c>
    </row>
    <row r="104" spans="2:6">
      <c r="B104" s="60" t="s">
        <v>251</v>
      </c>
      <c r="C104" s="60" t="str">
        <f>IF(Sprache=Glossary!$D$9,D104,IF(Sprache=Glossary!$E$9,E104,IF(Sprache=Glossary!$F$9,Glossary!F104)))</f>
        <v xml:space="preserve"> Kreditrisiko</v>
      </c>
      <c r="D104" s="60" t="s">
        <v>155</v>
      </c>
      <c r="E104" s="76" t="s">
        <v>156</v>
      </c>
      <c r="F104" s="76" t="s">
        <v>157</v>
      </c>
    </row>
    <row r="105" spans="2:6">
      <c r="B105" s="60" t="s">
        <v>252</v>
      </c>
      <c r="C105" s="60" t="str">
        <f>IF(Sprache=Glossary!$D$9,D105,IF(Sprache=Glossary!$E$9,E105,IF(Sprache=Glossary!$F$9,Glossary!F105)))</f>
        <v xml:space="preserve"> Versicherungsrisiko</v>
      </c>
      <c r="D105" s="60" t="s">
        <v>159</v>
      </c>
      <c r="E105" s="76" t="s">
        <v>160</v>
      </c>
      <c r="F105" s="76" t="s">
        <v>161</v>
      </c>
    </row>
    <row r="106" spans="2:6">
      <c r="B106" s="60" t="s">
        <v>253</v>
      </c>
      <c r="C106" s="60" t="str">
        <f>IF(Sprache=Glossary!$D$9,D106,IF(Sprache=Glossary!$E$9,E106,IF(Sprache=Glossary!$F$9,Glossary!F106)))</f>
        <v xml:space="preserve"> Diversifikationseffekt</v>
      </c>
      <c r="D106" s="60" t="s">
        <v>163</v>
      </c>
      <c r="E106" s="76" t="s">
        <v>164</v>
      </c>
      <c r="F106" s="76" t="s">
        <v>165</v>
      </c>
    </row>
    <row r="107" spans="2:6">
      <c r="B107" s="60" t="s">
        <v>254</v>
      </c>
      <c r="C107" s="60" t="str">
        <f>IF(Sprache=Glossary!$D$9,D107,IF(Sprache=Glossary!$E$9,E107,IF(Sprache=Glossary!$F$9,Glossary!F107)))</f>
        <v xml:space="preserve"> Negative des erwarteteten finanz. Ergebnisses </v>
      </c>
      <c r="D107" s="60" t="s">
        <v>167</v>
      </c>
      <c r="E107" s="76" t="s">
        <v>168</v>
      </c>
      <c r="F107" s="76" t="s">
        <v>169</v>
      </c>
    </row>
    <row r="108" spans="2:6">
      <c r="B108" s="60" t="s">
        <v>255</v>
      </c>
      <c r="C108" s="60" t="str">
        <f>IF(Sprache=Glossary!$D$9,D108,IF(Sprache=Glossary!$E$9,E108,IF(Sprache=Glossary!$F$9,Glossary!F108)))</f>
        <v xml:space="preserve"> Negative des erwarteteten vers. Ergebnisses</v>
      </c>
      <c r="D108" s="60" t="s">
        <v>171</v>
      </c>
      <c r="E108" s="76" t="s">
        <v>172</v>
      </c>
      <c r="F108" s="76" t="s">
        <v>173</v>
      </c>
    </row>
    <row r="109" spans="2:6">
      <c r="B109" s="60" t="s">
        <v>256</v>
      </c>
      <c r="C109" s="60" t="str">
        <f>IF(Sprache=Glossary!$D$9,D109,IF(Sprache=Glossary!$E$9,E109,IF(Sprache=Glossary!$F$9,Glossary!F109)))</f>
        <v xml:space="preserve"> Szenarieneffekt</v>
      </c>
      <c r="D109" s="60" t="s">
        <v>175</v>
      </c>
      <c r="E109" s="76" t="s">
        <v>176</v>
      </c>
      <c r="F109" s="76" t="s">
        <v>177</v>
      </c>
    </row>
    <row r="110" spans="2:6">
      <c r="B110" s="60" t="s">
        <v>257</v>
      </c>
      <c r="C110" s="60" t="str">
        <f>IF(Sprache=Glossary!$D$9,D110,IF(Sprache=Glossary!$E$9,E110,IF(Sprache=Glossary!$F$9,Glossary!F110)))</f>
        <v xml:space="preserve"> Zusätzliche Effekte</v>
      </c>
      <c r="D110" s="60" t="s">
        <v>179</v>
      </c>
      <c r="E110" s="76" t="s">
        <v>180</v>
      </c>
      <c r="F110" s="76" t="s">
        <v>181</v>
      </c>
    </row>
    <row r="111" spans="2:6">
      <c r="B111" s="60" t="s">
        <v>258</v>
      </c>
      <c r="C111" s="60" t="str">
        <f>IF(Sprache=Glossary!$D$9,D111,IF(Sprache=Glossary!$E$9,E111,IF(Sprache=Glossary!$F$9,Glossary!F111)))</f>
        <v xml:space="preserve"> Mindestbetrag (MVM)</v>
      </c>
      <c r="D111" s="60" t="s">
        <v>183</v>
      </c>
      <c r="E111" s="76" t="s">
        <v>184</v>
      </c>
      <c r="F111" s="76" t="s">
        <v>185</v>
      </c>
    </row>
    <row r="113" spans="2:7">
      <c r="B113" s="198" t="s">
        <v>259</v>
      </c>
      <c r="C113" s="198"/>
      <c r="D113" s="198"/>
      <c r="E113" s="198"/>
      <c r="F113" s="198"/>
    </row>
    <row r="114" spans="2:7">
      <c r="B114" s="197" t="s">
        <v>76</v>
      </c>
      <c r="C114" s="197"/>
      <c r="D114" s="197"/>
      <c r="E114" s="197"/>
      <c r="F114" s="197"/>
    </row>
    <row r="115" spans="2:7">
      <c r="B115" s="60" t="s">
        <v>260</v>
      </c>
      <c r="C115" s="60" t="str">
        <f>IF(Sprache=Glossary!$D$9,D115,IF(Sprache=Glossary!$E$9,E115,IF(Sprache=Glossary!$F$9,Glossary!F115)))</f>
        <v>Mio. CHF</v>
      </c>
      <c r="D115" s="60" t="str">
        <f>CONCATENATE("Mio. ",Intro!$E$8)</f>
        <v>Mio. CHF</v>
      </c>
      <c r="E115" s="60" t="str">
        <f>CONCATENATE("Millions de ",Intro!$E$8)</f>
        <v>Millions de CHF</v>
      </c>
      <c r="F115" s="60" t="str">
        <f>CONCATENATE(Intro!$E$8," millions")</f>
        <v>CHF millions</v>
      </c>
    </row>
    <row r="116" spans="2:7">
      <c r="B116" s="60" t="s">
        <v>261</v>
      </c>
      <c r="C116" s="60" t="str">
        <f>IF(Sprache=Glossary!$D$9,D116,IF(Sprache=Glossary!$E$9,E116,IF(Sprache=Glossary!$F$9,Glossary!F116)))</f>
        <v>Rel. Diff.</v>
      </c>
      <c r="D116" s="60" t="s">
        <v>262</v>
      </c>
      <c r="E116" s="60" t="s">
        <v>263</v>
      </c>
      <c r="F116" s="60" t="s">
        <v>264</v>
      </c>
    </row>
    <row r="117" spans="2:7">
      <c r="B117" s="60" t="s">
        <v>265</v>
      </c>
      <c r="C117" s="60" t="str">
        <f>IF(Sprache=Glossary!$D$9,D117,IF(Sprache=Glossary!$E$9,E117,IF(Sprache=Glossary!$F$9,Glossary!F117)))</f>
        <v>Mio. CHF</v>
      </c>
      <c r="D117" s="60" t="str">
        <f>CONCATENATE("Mio. ",Intro!$E$8)</f>
        <v>Mio. CHF</v>
      </c>
      <c r="E117" s="60" t="str">
        <f>CONCATENATE("Millions de ",Intro!$E$8)</f>
        <v>Millions de CHF</v>
      </c>
      <c r="F117" s="60" t="str">
        <f>CONCATENATE(Intro!$E$8," millions")</f>
        <v>CHF millions</v>
      </c>
    </row>
    <row r="118" spans="2:7">
      <c r="B118" s="60" t="s">
        <v>266</v>
      </c>
      <c r="C118" s="60" t="str">
        <f>IF(Sprache=Glossary!$D$9,D118,IF(Sprache=Glossary!$E$9,E118,IF(Sprache=Glossary!$F$9,Glossary!F118)))</f>
        <v>Stand per 31.12.</v>
      </c>
      <c r="D118" s="60" t="str">
        <f>"Stand per 31.12."</f>
        <v>Stand per 31.12.</v>
      </c>
      <c r="E118" s="60" t="s">
        <v>267</v>
      </c>
      <c r="F118" s="60" t="s">
        <v>268</v>
      </c>
    </row>
    <row r="119" spans="2:7">
      <c r="B119" s="60" t="s">
        <v>269</v>
      </c>
      <c r="C119" s="60" t="str">
        <f>IF(Sprache=Glossary!$D$9,D119,IF(Sprache=Glossary!$E$9,E119,IF(Sprache=Glossary!$F$9,Glossary!F119)))</f>
        <v>Erwartet</v>
      </c>
      <c r="D119" s="60" t="s">
        <v>270</v>
      </c>
      <c r="E119" s="60" t="s">
        <v>271</v>
      </c>
      <c r="F119" s="60" t="s">
        <v>272</v>
      </c>
    </row>
    <row r="120" spans="2:7">
      <c r="B120" s="60" t="s">
        <v>273</v>
      </c>
      <c r="C120" s="60" t="str">
        <f>IF(Sprache=Glossary!$D$9,D120,IF(Sprache=Glossary!$E$9,E120,IF(Sprache=Glossary!$F$9,Glossary!F120)))</f>
        <v>Neuschätzung</v>
      </c>
      <c r="D120" s="60" t="s">
        <v>274</v>
      </c>
      <c r="E120" s="60" t="s">
        <v>275</v>
      </c>
      <c r="F120" s="60" t="s">
        <v>276</v>
      </c>
    </row>
    <row r="122" spans="2:7">
      <c r="B122" s="197" t="s">
        <v>78</v>
      </c>
      <c r="C122" s="197"/>
      <c r="D122" s="197"/>
      <c r="E122" s="197"/>
      <c r="F122" s="197"/>
    </row>
    <row r="123" spans="2:7">
      <c r="B123" s="60" t="s">
        <v>277</v>
      </c>
      <c r="C123" s="60" t="str">
        <f>IF(Sprache=Glossary!$D$9,D123,IF(Sprache=Glossary!$E$9,E123,IF(Sprache=Glossary!$F$9,Glossary!F123)))</f>
        <v>Erwartet</v>
      </c>
      <c r="D123" s="60" t="s">
        <v>270</v>
      </c>
      <c r="E123" s="76" t="s">
        <v>271</v>
      </c>
      <c r="F123" s="76" t="s">
        <v>272</v>
      </c>
    </row>
    <row r="124" spans="2:7">
      <c r="B124" s="60" t="s">
        <v>278</v>
      </c>
      <c r="C124" s="60" t="str">
        <f>IF(Sprache=Glossary!$D$9,D124,IF(Sprache=Glossary!$E$9,E124,IF(Sprache=Glossary!$F$9,Glossary!F124)))</f>
        <v>Tatsächlich erreicht (Ex post-Betrachtung)</v>
      </c>
      <c r="D124" s="72" t="s">
        <v>279</v>
      </c>
      <c r="E124" s="74" t="s">
        <v>280</v>
      </c>
      <c r="F124" s="74" t="s">
        <v>281</v>
      </c>
    </row>
    <row r="125" spans="2:7">
      <c r="B125" s="60" t="s">
        <v>282</v>
      </c>
      <c r="C125" s="60" t="str">
        <f>IF(Sprache=Glossary!$D$9,D125,IF(Sprache=Glossary!$E$9,E125,IF(Sprache=Glossary!$F$9,Glossary!F125)))</f>
        <v>Erwartetes versicherungstechnisches Ergebnis</v>
      </c>
      <c r="D125" s="76" t="s">
        <v>99</v>
      </c>
      <c r="E125" s="76" t="s">
        <v>56</v>
      </c>
      <c r="F125" s="76" t="s">
        <v>57</v>
      </c>
    </row>
    <row r="126" spans="2:7">
      <c r="B126" s="60" t="s">
        <v>283</v>
      </c>
      <c r="C126" s="60" t="str">
        <f>IF(Sprache=Glossary!$D$9,D126,IF(Sprache=Glossary!$E$9,E126,IF(Sprache=Glossary!$F$9,Glossary!F126)))</f>
        <v>vt Ergebnis diskontiert</v>
      </c>
      <c r="D126" s="60" t="s">
        <v>284</v>
      </c>
      <c r="E126" s="76" t="s">
        <v>285</v>
      </c>
      <c r="F126" s="76" t="s">
        <v>286</v>
      </c>
      <c r="G126" s="76"/>
    </row>
    <row r="127" spans="2:7">
      <c r="B127" s="60" t="s">
        <v>287</v>
      </c>
      <c r="C127" s="60" t="str">
        <f>IF(Sprache=Glossary!$D$9,D127,IF(Sprache=Glossary!$E$9,E127,IF(Sprache=Glossary!$F$9,Glossary!F127)))</f>
        <v>vt Ergebnis nicht diskontiert</v>
      </c>
      <c r="D127" s="60" t="s">
        <v>288</v>
      </c>
      <c r="E127" s="74" t="s">
        <v>289</v>
      </c>
      <c r="F127" s="76" t="s">
        <v>290</v>
      </c>
      <c r="G127" s="76"/>
    </row>
    <row r="128" spans="2:7">
      <c r="B128" s="60" t="s">
        <v>291</v>
      </c>
      <c r="C128" s="60" t="str">
        <f>IF(Sprache=Glossary!$D$9,D128,IF(Sprache=Glossary!$E$9,E128,IF(Sprache=Glossary!$F$9,Glossary!F128)))</f>
        <v xml:space="preserve">  davon Abwicklungsergebnis Rückstellungen</v>
      </c>
      <c r="D128" s="60" t="s">
        <v>292</v>
      </c>
      <c r="E128" s="60" t="s">
        <v>293</v>
      </c>
      <c r="F128" s="60" t="s">
        <v>294</v>
      </c>
      <c r="G128" s="74"/>
    </row>
    <row r="129" spans="2:7">
      <c r="B129" s="60" t="s">
        <v>295</v>
      </c>
      <c r="C129" s="60" t="str">
        <f>IF(Sprache=Glossary!$D$9,D129,IF(Sprache=Glossary!$E$9,E129,IF(Sprache=Glossary!$F$9,Glossary!F129)))</f>
        <v xml:space="preserve">  davon Neugeschäft nicht diskontiert</v>
      </c>
      <c r="D129" s="60" t="s">
        <v>296</v>
      </c>
      <c r="E129" s="60" t="s">
        <v>297</v>
      </c>
      <c r="F129" s="60" t="s">
        <v>298</v>
      </c>
      <c r="G129" s="74"/>
    </row>
    <row r="132" spans="2:7">
      <c r="B132" s="198" t="s">
        <v>299</v>
      </c>
      <c r="C132" s="198"/>
      <c r="D132" s="198"/>
      <c r="E132" s="198"/>
      <c r="F132" s="198"/>
    </row>
    <row r="133" spans="2:7">
      <c r="B133" s="197" t="s">
        <v>76</v>
      </c>
      <c r="C133" s="197"/>
      <c r="D133" s="197"/>
      <c r="E133" s="197"/>
      <c r="F133" s="197"/>
    </row>
    <row r="134" spans="2:7">
      <c r="B134" s="81" t="s">
        <v>300</v>
      </c>
      <c r="C134" s="81" t="str">
        <f>IF(Sprache=Glossary!$D$9,D134,IF(Sprache=Glossary!$E$9,E134,IF(Sprache=Glossary!$F$9,Glossary!F134)))</f>
        <v>Statutarische Bilanz</v>
      </c>
      <c r="D134" s="60" t="s">
        <v>301</v>
      </c>
      <c r="E134" s="60" t="s">
        <v>302</v>
      </c>
      <c r="F134" s="87" t="s">
        <v>1143</v>
      </c>
      <c r="G134" s="80"/>
    </row>
    <row r="135" spans="2:7">
      <c r="B135" s="81" t="s">
        <v>303</v>
      </c>
      <c r="C135" s="81" t="str">
        <f>IF(Sprache=Glossary!$D$9,D135,IF(Sprache=Glossary!$E$9,E135,IF(Sprache=Glossary!$F$9,Glossary!F135)))</f>
        <v>SST-Bilanz</v>
      </c>
      <c r="D135" s="60" t="s">
        <v>304</v>
      </c>
      <c r="E135" s="60" t="s">
        <v>305</v>
      </c>
      <c r="F135" s="87" t="s">
        <v>1142</v>
      </c>
      <c r="G135" s="80"/>
    </row>
    <row r="136" spans="2:7">
      <c r="B136" s="81"/>
      <c r="C136" s="81"/>
      <c r="D136" s="81"/>
      <c r="E136" s="81"/>
      <c r="F136" s="81"/>
    </row>
    <row r="137" spans="2:7">
      <c r="B137" s="197" t="s">
        <v>78</v>
      </c>
      <c r="C137" s="197"/>
      <c r="D137" s="197"/>
      <c r="E137" s="197"/>
      <c r="F137" s="197"/>
    </row>
    <row r="138" spans="2:7">
      <c r="B138" s="60" t="s">
        <v>306</v>
      </c>
      <c r="C138" s="60" t="str">
        <f>IF(Sprache=Glossary!$D$9,D138,IF(Sprache=Glossary!$E$9,E138,IF(Sprache=Glossary!$F$9,Glossary!F138)))</f>
        <v>Aktiven</v>
      </c>
      <c r="D138" s="60" t="s">
        <v>307</v>
      </c>
      <c r="E138" s="60" t="s">
        <v>308</v>
      </c>
      <c r="F138" s="60" t="s">
        <v>309</v>
      </c>
    </row>
    <row r="139" spans="2:7">
      <c r="B139" s="60" t="s">
        <v>310</v>
      </c>
      <c r="C139" s="60" t="str">
        <f>IF(Sprache=Glossary!$D$9,D139,IF(Sprache=Glossary!$E$9,E139,IF(Sprache=Glossary!$F$9,Glossary!F139)))</f>
        <v>Staffelrechnung</v>
      </c>
      <c r="D139" s="60" t="s">
        <v>311</v>
      </c>
      <c r="E139" s="60" t="s">
        <v>312</v>
      </c>
      <c r="F139" s="60" t="s">
        <v>313</v>
      </c>
    </row>
    <row r="140" spans="2:7">
      <c r="B140" s="60" t="s">
        <v>314</v>
      </c>
      <c r="C140" s="60" t="str">
        <f>IF(Sprache=Glossary!$D$9,D140,IF(Sprache=Glossary!$E$9,E140,IF(Sprache=Glossary!$F$9,Glossary!F140)))</f>
        <v>Kontonummer</v>
      </c>
      <c r="D140" s="60" t="s">
        <v>315</v>
      </c>
      <c r="E140" s="60" t="s">
        <v>316</v>
      </c>
      <c r="F140" s="60" t="s">
        <v>317</v>
      </c>
    </row>
    <row r="141" spans="2:7">
      <c r="B141" s="60" t="s">
        <v>318</v>
      </c>
      <c r="C141" s="60" t="str">
        <f>IF(Sprache=Glossary!$D$9,D141,IF(Sprache=Glossary!$E$9,E141,IF(Sprache=Glossary!$F$9,Glossary!F141)))</f>
        <v xml:space="preserve">Marktkonformer Wert bzw. Best Estimate  </v>
      </c>
      <c r="D141" s="60" t="s">
        <v>319</v>
      </c>
      <c r="E141" s="60" t="s">
        <v>320</v>
      </c>
      <c r="F141" s="60" t="s">
        <v>321</v>
      </c>
    </row>
    <row r="142" spans="2:7">
      <c r="B142" s="60" t="s">
        <v>322</v>
      </c>
      <c r="C142" s="60" t="str">
        <f>IF(Sprache=Glossary!$D$9,D142,IF(Sprache=Glossary!$E$9,E142,IF(Sprache=Glossary!$F$9,Glossary!F142)))</f>
        <v>Differenzen aufgrund des veränderten Stichtages</v>
      </c>
      <c r="D142" s="60" t="s">
        <v>323</v>
      </c>
      <c r="E142" s="60" t="s">
        <v>324</v>
      </c>
      <c r="F142" s="60" t="s">
        <v>325</v>
      </c>
    </row>
    <row r="143" spans="2:7">
      <c r="B143" s="60" t="s">
        <v>326</v>
      </c>
      <c r="C143" s="60" t="str">
        <f>IF(Sprache=Glossary!$D$9,D143,IF(Sprache=Glossary!$E$9,E143,IF(Sprache=Glossary!$F$9,Glossary!F143)))</f>
        <v>in % der Total Aktiven</v>
      </c>
      <c r="D143" s="60" t="s">
        <v>327</v>
      </c>
      <c r="E143" s="60" t="s">
        <v>1144</v>
      </c>
      <c r="F143" s="60" t="s">
        <v>328</v>
      </c>
    </row>
    <row r="145" spans="2:6">
      <c r="B145" s="60" t="s">
        <v>329</v>
      </c>
      <c r="C145" s="60" t="str">
        <f>IF(Sprache=Glossary!$D$9,D145,IF(Sprache=Glossary!$E$9,E145,IF(Sprache=Glossary!$F$9,Glossary!F145)))</f>
        <v>1.1 Kapitalanlagen</v>
      </c>
      <c r="D145" s="60" t="s">
        <v>330</v>
      </c>
      <c r="E145" s="60" t="s">
        <v>331</v>
      </c>
      <c r="F145" s="60" t="s">
        <v>332</v>
      </c>
    </row>
    <row r="146" spans="2:6">
      <c r="B146" s="60" t="s">
        <v>333</v>
      </c>
      <c r="C146" s="60" t="str">
        <f>IF(Sprache=Glossary!$D$9,D146,IF(Sprache=Glossary!$E$9,E146,IF(Sprache=Glossary!$F$9,Glossary!F146)))</f>
        <v>1.1.1 Immobilien</v>
      </c>
      <c r="D146" s="60" t="s">
        <v>334</v>
      </c>
      <c r="E146" s="60" t="s">
        <v>335</v>
      </c>
      <c r="F146" s="60" t="s">
        <v>336</v>
      </c>
    </row>
    <row r="147" spans="2:6">
      <c r="B147" s="60" t="s">
        <v>337</v>
      </c>
      <c r="C147" s="60" t="str">
        <f>IF(Sprache=Glossary!$D$9,D147,IF(Sprache=Glossary!$E$9,E147,IF(Sprache=Glossary!$F$9,Glossary!F147)))</f>
        <v>Wohnimmobilien</v>
      </c>
      <c r="D147" s="60" t="s">
        <v>1001</v>
      </c>
      <c r="E147" s="60" t="s">
        <v>1002</v>
      </c>
      <c r="F147" s="60" t="s">
        <v>1003</v>
      </c>
    </row>
    <row r="148" spans="2:6">
      <c r="B148" s="60" t="s">
        <v>340</v>
      </c>
      <c r="C148" s="60" t="str">
        <f>IF(Sprache=Glossary!$D$9,D148,IF(Sprache=Glossary!$E$9,E148,IF(Sprache=Glossary!$F$9,Glossary!F148)))</f>
        <v>Wohnimmobilien: Inland</v>
      </c>
      <c r="D148" s="60" t="s">
        <v>338</v>
      </c>
      <c r="E148" s="60" t="s">
        <v>1145</v>
      </c>
      <c r="F148" s="60" t="s">
        <v>339</v>
      </c>
    </row>
    <row r="149" spans="2:6">
      <c r="B149" s="60" t="s">
        <v>343</v>
      </c>
      <c r="C149" s="60" t="str">
        <f>IF(Sprache=Glossary!$D$9,D149,IF(Sprache=Glossary!$E$9,E149,IF(Sprache=Glossary!$F$9,Glossary!F149)))</f>
        <v>Wohnimmobilien: Ausland</v>
      </c>
      <c r="D149" s="60" t="s">
        <v>1004</v>
      </c>
      <c r="E149" s="60" t="s">
        <v>341</v>
      </c>
      <c r="F149" s="60" t="s">
        <v>342</v>
      </c>
    </row>
    <row r="150" spans="2:6">
      <c r="B150" s="60" t="s">
        <v>344</v>
      </c>
      <c r="C150" s="60" t="str">
        <f>IF(Sprache=Glossary!$D$9,D150,IF(Sprache=Glossary!$E$9,E150,IF(Sprache=Glossary!$F$9,Glossary!F150)))</f>
        <v>Kommerzielle Liegenschaften</v>
      </c>
      <c r="D150" s="60" t="s">
        <v>1005</v>
      </c>
      <c r="E150" s="60" t="s">
        <v>1006</v>
      </c>
      <c r="F150" s="60" t="s">
        <v>706</v>
      </c>
    </row>
    <row r="151" spans="2:6">
      <c r="B151" s="60" t="s">
        <v>345</v>
      </c>
      <c r="C151" s="60" t="str">
        <f>IF(Sprache=Glossary!$D$9,D151,IF(Sprache=Glossary!$E$9,E151,IF(Sprache=Glossary!$F$9,Glossary!F151)))</f>
        <v>Kommerzielle Liegenschaften: Inland</v>
      </c>
      <c r="D151" s="60" t="s">
        <v>1007</v>
      </c>
      <c r="E151" s="60" t="s">
        <v>1008</v>
      </c>
      <c r="F151" s="60" t="s">
        <v>1009</v>
      </c>
    </row>
    <row r="152" spans="2:6">
      <c r="B152" s="60" t="s">
        <v>348</v>
      </c>
      <c r="C152" s="60" t="str">
        <f>IF(Sprache=Glossary!$D$9,D152,IF(Sprache=Glossary!$E$9,E152,IF(Sprache=Glossary!$F$9,Glossary!F152)))</f>
        <v>Kommerzielle Liegenschaften: Ausland</v>
      </c>
      <c r="D152" s="60" t="s">
        <v>1010</v>
      </c>
      <c r="E152" s="60" t="s">
        <v>1011</v>
      </c>
      <c r="F152" s="60" t="s">
        <v>1012</v>
      </c>
    </row>
    <row r="153" spans="2:6">
      <c r="B153" s="60" t="s">
        <v>349</v>
      </c>
      <c r="C153" s="60" t="str">
        <f>IF(Sprache=Glossary!$D$9,D153,IF(Sprache=Glossary!$E$9,E153,IF(Sprache=Glossary!$F$9,Glossary!F153)))</f>
        <v>Gemischtgenutzte Immobilien</v>
      </c>
      <c r="D153" s="60" t="s">
        <v>1013</v>
      </c>
      <c r="E153" s="60" t="s">
        <v>1014</v>
      </c>
      <c r="F153" s="60" t="s">
        <v>1015</v>
      </c>
    </row>
    <row r="154" spans="2:6">
      <c r="B154" s="60" t="s">
        <v>350</v>
      </c>
      <c r="C154" s="60" t="str">
        <f>IF(Sprache=Glossary!$D$9,D154,IF(Sprache=Glossary!$E$9,E154,IF(Sprache=Glossary!$F$9,Glossary!F154)))</f>
        <v>Gemischtgenutzte Immobilien: Inland</v>
      </c>
      <c r="D154" s="60" t="s">
        <v>346</v>
      </c>
      <c r="E154" s="60" t="s">
        <v>1146</v>
      </c>
      <c r="F154" s="60" t="s">
        <v>347</v>
      </c>
    </row>
    <row r="155" spans="2:6">
      <c r="B155" s="60" t="s">
        <v>351</v>
      </c>
      <c r="C155" s="60" t="str">
        <f>IF(Sprache=Glossary!$D$9,D155,IF(Sprache=Glossary!$E$9,E155,IF(Sprache=Glossary!$F$9,Glossary!F155)))</f>
        <v>Gemischtgenutzte Immobilien: Ausland</v>
      </c>
      <c r="D155" s="60" t="s">
        <v>1016</v>
      </c>
      <c r="E155" s="60" t="s">
        <v>1017</v>
      </c>
      <c r="F155" s="60" t="s">
        <v>1018</v>
      </c>
    </row>
    <row r="156" spans="2:6">
      <c r="B156" s="60" t="s">
        <v>352</v>
      </c>
      <c r="C156" s="60" t="str">
        <f>IF(Sprache=Glossary!$D$9,D156,IF(Sprache=Glossary!$E$9,E156,IF(Sprache=Glossary!$F$9,Glossary!F156)))</f>
        <v>Übrige Immobilien</v>
      </c>
      <c r="D156" s="60" t="s">
        <v>1019</v>
      </c>
      <c r="E156" s="60" t="s">
        <v>1020</v>
      </c>
      <c r="F156" s="60" t="s">
        <v>1021</v>
      </c>
    </row>
    <row r="158" spans="2:6">
      <c r="B158" s="60" t="s">
        <v>356</v>
      </c>
      <c r="C158" s="60" t="str">
        <f>IF(Sprache=Glossary!$D$9,D158,IF(Sprache=Glossary!$E$9,E158,IF(Sprache=Glossary!$F$9,Glossary!F158)))</f>
        <v>1.1.2 Beteiligungen</v>
      </c>
      <c r="D158" s="60" t="s">
        <v>353</v>
      </c>
      <c r="E158" s="60" t="s">
        <v>354</v>
      </c>
      <c r="F158" s="60" t="s">
        <v>355</v>
      </c>
    </row>
    <row r="159" spans="2:6">
      <c r="B159" s="60" t="s">
        <v>360</v>
      </c>
      <c r="C159" s="60" t="str">
        <f>IF(Sprache=Glossary!$D$9,D159,IF(Sprache=Glossary!$E$9,E159,IF(Sprache=Glossary!$F$9,Glossary!F159)))</f>
        <v>Beteiligungen: Quote &gt; 50 %</v>
      </c>
      <c r="D159" s="60" t="s">
        <v>357</v>
      </c>
      <c r="E159" s="60" t="s">
        <v>358</v>
      </c>
      <c r="F159" s="60" t="s">
        <v>359</v>
      </c>
    </row>
    <row r="160" spans="2:6">
      <c r="B160" s="60" t="s">
        <v>364</v>
      </c>
      <c r="C160" s="60" t="str">
        <f>IF(Sprache=Glossary!$D$9,D160,IF(Sprache=Glossary!$E$9,E160,IF(Sprache=Glossary!$F$9,Glossary!F160)))</f>
        <v>Beteiligungen an Versicherungsgesellschaften</v>
      </c>
      <c r="D160" s="60" t="s">
        <v>361</v>
      </c>
      <c r="E160" s="60" t="s">
        <v>362</v>
      </c>
      <c r="F160" s="60" t="s">
        <v>363</v>
      </c>
    </row>
    <row r="161" spans="2:6">
      <c r="B161" s="60" t="s">
        <v>368</v>
      </c>
      <c r="C161" s="60" t="str">
        <f>IF(Sprache=Glossary!$D$9,D161,IF(Sprache=Glossary!$E$9,E161,IF(Sprache=Glossary!$F$9,Glossary!F161)))</f>
        <v>Übrige Beteiligungen</v>
      </c>
      <c r="D161" s="60" t="s">
        <v>365</v>
      </c>
      <c r="E161" s="60" t="s">
        <v>366</v>
      </c>
      <c r="F161" s="60" t="s">
        <v>367</v>
      </c>
    </row>
    <row r="163" spans="2:6">
      <c r="B163" s="60" t="s">
        <v>372</v>
      </c>
      <c r="C163" s="60" t="str">
        <f>IF(Sprache=Glossary!$D$9,D163,IF(Sprache=Glossary!$E$9,E163,IF(Sprache=Glossary!$F$9,Glossary!F163)))</f>
        <v>Beteiligungen: Quote 20 % bis 50 %</v>
      </c>
      <c r="D163" s="60" t="s">
        <v>369</v>
      </c>
      <c r="E163" s="60" t="s">
        <v>370</v>
      </c>
      <c r="F163" s="60" t="s">
        <v>371</v>
      </c>
    </row>
    <row r="164" spans="2:6">
      <c r="B164" s="60" t="s">
        <v>373</v>
      </c>
      <c r="C164" s="60" t="str">
        <f>IF(Sprache=Glossary!$D$9,D164,IF(Sprache=Glossary!$E$9,E164,IF(Sprache=Glossary!$F$9,Glossary!F164)))</f>
        <v>Beteiligungen an Versicherungsgesellschaften</v>
      </c>
      <c r="D164" s="60" t="s">
        <v>361</v>
      </c>
      <c r="E164" s="60" t="s">
        <v>362</v>
      </c>
      <c r="F164" s="60" t="s">
        <v>363</v>
      </c>
    </row>
    <row r="165" spans="2:6">
      <c r="B165" s="60" t="s">
        <v>374</v>
      </c>
      <c r="C165" s="60" t="str">
        <f>IF(Sprache=Glossary!$D$9,D165,IF(Sprache=Glossary!$E$9,E165,IF(Sprache=Glossary!$F$9,Glossary!F165)))</f>
        <v>Übrige Beteiligungen</v>
      </c>
      <c r="D165" s="60" t="s">
        <v>365</v>
      </c>
      <c r="E165" s="60" t="s">
        <v>366</v>
      </c>
      <c r="F165" s="60" t="s">
        <v>367</v>
      </c>
    </row>
    <row r="167" spans="2:6">
      <c r="B167" s="60" t="s">
        <v>378</v>
      </c>
      <c r="C167" s="60" t="str">
        <f>IF(Sprache=Glossary!$D$9,D167,IF(Sprache=Glossary!$E$9,E167,IF(Sprache=Glossary!$F$9,Glossary!F167)))</f>
        <v>1.1.3 Festverzinsliche Wertpapiere</v>
      </c>
      <c r="D167" s="60" t="s">
        <v>375</v>
      </c>
      <c r="E167" s="60" t="s">
        <v>376</v>
      </c>
      <c r="F167" s="60" t="s">
        <v>377</v>
      </c>
    </row>
    <row r="168" spans="2:6">
      <c r="B168" s="60" t="s">
        <v>382</v>
      </c>
      <c r="C168" s="60" t="str">
        <f>IF(Sprache=Glossary!$D$9,D168,IF(Sprache=Glossary!$E$9,E168,IF(Sprache=Glossary!$F$9,Glossary!F168)))</f>
        <v>Staats- und Zentralbankenanleihen</v>
      </c>
      <c r="D168" s="60" t="s">
        <v>379</v>
      </c>
      <c r="E168" s="60" t="s">
        <v>380</v>
      </c>
      <c r="F168" s="60" t="s">
        <v>381</v>
      </c>
    </row>
    <row r="169" spans="2:6">
      <c r="B169" s="60" t="s">
        <v>386</v>
      </c>
      <c r="C169" s="60" t="str">
        <f>IF(Sprache=Glossary!$D$9,D169,IF(Sprache=Glossary!$E$9,E169,IF(Sprache=Glossary!$F$9,Glossary!F169)))</f>
        <v>davon Schweizer Kantone und Gemeinden</v>
      </c>
      <c r="D169" s="60" t="s">
        <v>383</v>
      </c>
      <c r="E169" s="60" t="s">
        <v>384</v>
      </c>
      <c r="F169" s="60" t="s">
        <v>385</v>
      </c>
    </row>
    <row r="170" spans="2:6">
      <c r="B170" s="60" t="s">
        <v>390</v>
      </c>
      <c r="C170" s="60" t="str">
        <f>IF(Sprache=Glossary!$D$9,D170,IF(Sprache=Glossary!$E$9,E170,IF(Sprache=Glossary!$F$9,Glossary!F170)))</f>
        <v>davon andere öffentliche Körperschaften</v>
      </c>
      <c r="D170" s="60" t="s">
        <v>387</v>
      </c>
      <c r="E170" s="60" t="s">
        <v>388</v>
      </c>
      <c r="F170" s="60" t="s">
        <v>389</v>
      </c>
    </row>
    <row r="171" spans="2:6">
      <c r="B171" s="60" t="s">
        <v>394</v>
      </c>
      <c r="C171" s="60" t="str">
        <f>IF(Sprache=Glossary!$D$9,D171,IF(Sprache=Glossary!$E$9,E171,IF(Sprache=Glossary!$F$9,Glossary!F171)))</f>
        <v>Unternehmensanleihen</v>
      </c>
      <c r="D171" s="60" t="s">
        <v>391</v>
      </c>
      <c r="E171" s="60" t="s">
        <v>392</v>
      </c>
      <c r="F171" s="60" t="s">
        <v>393</v>
      </c>
    </row>
    <row r="172" spans="2:6">
      <c r="B172" s="60" t="s">
        <v>398</v>
      </c>
      <c r="C172" s="60" t="str">
        <f>IF(Sprache=Glossary!$D$9,D172,IF(Sprache=Glossary!$E$9,E172,IF(Sprache=Glossary!$F$9,Glossary!F172)))</f>
        <v>davon Banken und Effektenhändler</v>
      </c>
      <c r="D172" s="60" t="s">
        <v>395</v>
      </c>
      <c r="E172" s="60" t="s">
        <v>396</v>
      </c>
      <c r="F172" s="60" t="s">
        <v>397</v>
      </c>
    </row>
    <row r="173" spans="2:6">
      <c r="B173" s="60" t="s">
        <v>402</v>
      </c>
      <c r="C173" s="60" t="str">
        <f>IF(Sprache=Glossary!$D$9,D173,IF(Sprache=Glossary!$E$9,E173,IF(Sprache=Glossary!$F$9,Glossary!F173)))</f>
        <v>Pfandbriefanleihen / Covered Bonds</v>
      </c>
      <c r="D173" s="60" t="s">
        <v>399</v>
      </c>
      <c r="E173" s="60" t="s">
        <v>400</v>
      </c>
      <c r="F173" s="60" t="s">
        <v>401</v>
      </c>
    </row>
    <row r="174" spans="2:6">
      <c r="B174" s="60" t="s">
        <v>406</v>
      </c>
      <c r="C174" s="60" t="str">
        <f>IF(Sprache=Glossary!$D$9,D174,IF(Sprache=Glossary!$E$9,E174,IF(Sprache=Glossary!$F$9,Glossary!F174)))</f>
        <v>Wandelanleihen</v>
      </c>
      <c r="D174" s="60" t="s">
        <v>403</v>
      </c>
      <c r="E174" s="60" t="s">
        <v>404</v>
      </c>
      <c r="F174" s="60" t="s">
        <v>405</v>
      </c>
    </row>
    <row r="175" spans="2:6">
      <c r="B175" s="60" t="s">
        <v>410</v>
      </c>
      <c r="C175" s="60" t="str">
        <f>IF(Sprache=Glossary!$D$9,D175,IF(Sprache=Glossary!$E$9,E175,IF(Sprache=Glossary!$F$9,Glossary!F175)))</f>
        <v>Sonstige Anleihen (inkl. Optionsanleihen, supranationale Anleihen)</v>
      </c>
      <c r="D175" s="60" t="s">
        <v>407</v>
      </c>
      <c r="E175" s="60" t="s">
        <v>408</v>
      </c>
      <c r="F175" s="60" t="s">
        <v>409</v>
      </c>
    </row>
    <row r="177" spans="2:6">
      <c r="B177" s="60" t="s">
        <v>414</v>
      </c>
      <c r="C177" s="60" t="str">
        <f>IF(Sprache=Glossary!$D$9,D177,IF(Sprache=Glossary!$E$9,E177,IF(Sprache=Glossary!$F$9,Glossary!F177)))</f>
        <v>1.1.4 Darlehen</v>
      </c>
      <c r="D177" s="60" t="s">
        <v>411</v>
      </c>
      <c r="E177" s="60" t="s">
        <v>412</v>
      </c>
      <c r="F177" s="60" t="s">
        <v>413</v>
      </c>
    </row>
    <row r="178" spans="2:6">
      <c r="B178" s="60" t="s">
        <v>418</v>
      </c>
      <c r="C178" s="60" t="str">
        <f>IF(Sprache=Glossary!$D$9,D178,IF(Sprache=Glossary!$E$9,E178,IF(Sprache=Glossary!$F$9,Glossary!F178)))</f>
        <v>Nachrangige Darlehen</v>
      </c>
      <c r="D178" s="60" t="s">
        <v>415</v>
      </c>
      <c r="E178" s="60" t="s">
        <v>416</v>
      </c>
      <c r="F178" s="60" t="s">
        <v>417</v>
      </c>
    </row>
    <row r="179" spans="2:6">
      <c r="B179" s="60" t="s">
        <v>422</v>
      </c>
      <c r="C179" s="60" t="str">
        <f>IF(Sprache=Glossary!$D$9,D179,IF(Sprache=Glossary!$E$9,E179,IF(Sprache=Glossary!$F$9,Glossary!F179)))</f>
        <v>Policendarlehen</v>
      </c>
      <c r="D179" s="60" t="s">
        <v>419</v>
      </c>
      <c r="E179" s="60" t="s">
        <v>420</v>
      </c>
      <c r="F179" s="60" t="s">
        <v>421</v>
      </c>
    </row>
    <row r="180" spans="2:6">
      <c r="B180" s="60" t="s">
        <v>426</v>
      </c>
      <c r="C180" s="60" t="str">
        <f>IF(Sprache=Glossary!$D$9,D180,IF(Sprache=Glossary!$E$9,E180,IF(Sprache=Glossary!$F$9,Glossary!F180)))</f>
        <v>Sonstige Darlehen</v>
      </c>
      <c r="D180" s="60" t="s">
        <v>423</v>
      </c>
      <c r="E180" s="60" t="s">
        <v>424</v>
      </c>
      <c r="F180" s="60" t="s">
        <v>425</v>
      </c>
    </row>
    <row r="182" spans="2:6">
      <c r="B182" s="60" t="s">
        <v>430</v>
      </c>
      <c r="C182" s="60" t="str">
        <f>IF(Sprache=Glossary!$D$9,D182,IF(Sprache=Glossary!$E$9,E182,IF(Sprache=Glossary!$F$9,Glossary!F182)))</f>
        <v>1.1.5 Hypotheken</v>
      </c>
      <c r="D182" s="60" t="s">
        <v>427</v>
      </c>
      <c r="E182" s="60" t="s">
        <v>428</v>
      </c>
      <c r="F182" s="60" t="s">
        <v>429</v>
      </c>
    </row>
    <row r="183" spans="2:6">
      <c r="B183" s="60" t="s">
        <v>434</v>
      </c>
      <c r="C183" s="60" t="str">
        <f>IF(Sprache=Glossary!$D$9,D183,IF(Sprache=Glossary!$E$9,E183,IF(Sprache=Glossary!$F$9,Glossary!F183)))</f>
        <v>Hypotheken bis 80 % des Verkehrswertes</v>
      </c>
      <c r="D183" s="60" t="s">
        <v>431</v>
      </c>
      <c r="E183" s="60" t="s">
        <v>432</v>
      </c>
      <c r="F183" s="60" t="s">
        <v>433</v>
      </c>
    </row>
    <row r="184" spans="2:6">
      <c r="B184" s="60" t="s">
        <v>438</v>
      </c>
      <c r="C184" s="60" t="str">
        <f>IF(Sprache=Glossary!$D$9,D184,IF(Sprache=Glossary!$E$9,E184,IF(Sprache=Glossary!$F$9,Glossary!F184)))</f>
        <v>mit festen Zinssätzen</v>
      </c>
      <c r="D184" s="60" t="s">
        <v>435</v>
      </c>
      <c r="E184" s="60" t="s">
        <v>436</v>
      </c>
      <c r="F184" s="60" t="s">
        <v>437</v>
      </c>
    </row>
    <row r="185" spans="2:6">
      <c r="B185" s="60" t="s">
        <v>442</v>
      </c>
      <c r="C185" s="60" t="str">
        <f>IF(Sprache=Glossary!$D$9,D185,IF(Sprache=Glossary!$E$9,E185,IF(Sprache=Glossary!$F$9,Glossary!F185)))</f>
        <v>mit variablen Zinssätzen</v>
      </c>
      <c r="D185" s="60" t="s">
        <v>439</v>
      </c>
      <c r="E185" s="60" t="s">
        <v>440</v>
      </c>
      <c r="F185" s="60" t="s">
        <v>441</v>
      </c>
    </row>
    <row r="186" spans="2:6">
      <c r="B186" s="60" t="s">
        <v>446</v>
      </c>
      <c r="C186" s="60" t="str">
        <f>IF(Sprache=Glossary!$D$9,D186,IF(Sprache=Glossary!$E$9,E186,IF(Sprache=Glossary!$F$9,Glossary!F186)))</f>
        <v>Hypotheken mehr als 80 % des Verkehrswertes</v>
      </c>
      <c r="D186" s="60" t="s">
        <v>443</v>
      </c>
      <c r="E186" s="60" t="s">
        <v>444</v>
      </c>
      <c r="F186" s="60" t="s">
        <v>445</v>
      </c>
    </row>
    <row r="187" spans="2:6">
      <c r="B187" s="60" t="s">
        <v>447</v>
      </c>
      <c r="C187" s="60" t="str">
        <f>IF(Sprache=Glossary!$D$9,D187,IF(Sprache=Glossary!$E$9,E187,IF(Sprache=Glossary!$F$9,Glossary!F187)))</f>
        <v>mit festen Zinssätzen</v>
      </c>
      <c r="D187" s="60" t="s">
        <v>435</v>
      </c>
      <c r="E187" s="60" t="s">
        <v>436</v>
      </c>
      <c r="F187" s="60" t="s">
        <v>437</v>
      </c>
    </row>
    <row r="188" spans="2:6">
      <c r="B188" s="60" t="s">
        <v>448</v>
      </c>
      <c r="C188" s="60" t="str">
        <f>IF(Sprache=Glossary!$D$9,D188,IF(Sprache=Glossary!$E$9,E188,IF(Sprache=Glossary!$F$9,Glossary!F188)))</f>
        <v>mit variablen Zinssätzen</v>
      </c>
      <c r="D188" s="60" t="s">
        <v>439</v>
      </c>
      <c r="E188" s="60" t="s">
        <v>440</v>
      </c>
      <c r="F188" s="60" t="s">
        <v>441</v>
      </c>
    </row>
    <row r="190" spans="2:6">
      <c r="B190" s="60" t="s">
        <v>452</v>
      </c>
      <c r="C190" s="60" t="str">
        <f>IF(Sprache=Glossary!$D$9,D190,IF(Sprache=Glossary!$E$9,E190,IF(Sprache=Glossary!$F$9,Glossary!F190)))</f>
        <v>1.1.6 Aktien</v>
      </c>
      <c r="D190" s="60" t="s">
        <v>449</v>
      </c>
      <c r="E190" s="60" t="s">
        <v>450</v>
      </c>
      <c r="F190" s="60" t="s">
        <v>451</v>
      </c>
    </row>
    <row r="191" spans="2:6">
      <c r="B191" s="60" t="s">
        <v>456</v>
      </c>
      <c r="C191" s="60" t="str">
        <f>IF(Sprache=Glossary!$D$9,D191,IF(Sprache=Glossary!$E$9,E191,IF(Sprache=Glossary!$F$9,Glossary!F191)))</f>
        <v>Aktien und ähnliche Wertschriften</v>
      </c>
      <c r="D191" s="60" t="s">
        <v>453</v>
      </c>
      <c r="E191" s="60" t="s">
        <v>454</v>
      </c>
      <c r="F191" s="60" t="s">
        <v>455</v>
      </c>
    </row>
    <row r="192" spans="2:6">
      <c r="B192" s="60" t="s">
        <v>460</v>
      </c>
      <c r="C192" s="60" t="str">
        <f>IF(Sprache=Glossary!$D$9,D192,IF(Sprache=Glossary!$E$9,E192,IF(Sprache=Glossary!$F$9,Glossary!F192)))</f>
        <v>Aktien von Gruppengesellschaften</v>
      </c>
      <c r="D192" s="60" t="s">
        <v>457</v>
      </c>
      <c r="E192" s="60" t="s">
        <v>458</v>
      </c>
      <c r="F192" s="60" t="s">
        <v>459</v>
      </c>
    </row>
    <row r="193" spans="2:6">
      <c r="B193" s="60" t="s">
        <v>464</v>
      </c>
      <c r="C193" s="60" t="str">
        <f>IF(Sprache=Glossary!$D$9,D193,IF(Sprache=Glossary!$E$9,E193,IF(Sprache=Glossary!$F$9,Glossary!F193)))</f>
        <v>Anlagen an Immobiliengesellschaften</v>
      </c>
      <c r="D193" s="60" t="s">
        <v>461</v>
      </c>
      <c r="E193" s="60" t="s">
        <v>462</v>
      </c>
      <c r="F193" s="60" t="s">
        <v>463</v>
      </c>
    </row>
    <row r="195" spans="2:6">
      <c r="B195" s="60" t="s">
        <v>468</v>
      </c>
      <c r="C195" s="60" t="str">
        <f>IF(Sprache=Glossary!$D$9,D195,IF(Sprache=Glossary!$E$9,E195,IF(Sprache=Glossary!$F$9,Glossary!F195)))</f>
        <v>1.1.7 Übrige Kapitalanlagen</v>
      </c>
      <c r="D195" s="60" t="s">
        <v>465</v>
      </c>
      <c r="E195" s="60" t="s">
        <v>466</v>
      </c>
      <c r="F195" s="60" t="s">
        <v>467</v>
      </c>
    </row>
    <row r="196" spans="2:6">
      <c r="B196" s="60" t="s">
        <v>472</v>
      </c>
      <c r="C196" s="60" t="str">
        <f>IF(Sprache=Glossary!$D$9,D196,IF(Sprache=Glossary!$E$9,E196,IF(Sprache=Glossary!$F$9,Glossary!F196)))</f>
        <v>Kollektive Kapitalanlagen</v>
      </c>
      <c r="D196" s="60" t="s">
        <v>469</v>
      </c>
      <c r="E196" s="60" t="s">
        <v>470</v>
      </c>
      <c r="F196" s="60" t="s">
        <v>471</v>
      </c>
    </row>
    <row r="197" spans="2:6">
      <c r="B197" s="60" t="s">
        <v>476</v>
      </c>
      <c r="C197" s="60" t="str">
        <f>IF(Sprache=Glossary!$D$9,D197,IF(Sprache=Glossary!$E$9,E197,IF(Sprache=Glossary!$F$9,Glossary!F197)))</f>
        <v>Anlagefonds: Immobilien</v>
      </c>
      <c r="D197" s="60" t="s">
        <v>473</v>
      </c>
      <c r="E197" s="60" t="s">
        <v>474</v>
      </c>
      <c r="F197" s="60" t="s">
        <v>475</v>
      </c>
    </row>
    <row r="198" spans="2:6">
      <c r="B198" s="60" t="s">
        <v>480</v>
      </c>
      <c r="C198" s="60" t="str">
        <f>IF(Sprache=Glossary!$D$9,D198,IF(Sprache=Glossary!$E$9,E198,IF(Sprache=Glossary!$F$9,Glossary!F198)))</f>
        <v>Anlagefonds: Aktien</v>
      </c>
      <c r="D198" s="60" t="s">
        <v>477</v>
      </c>
      <c r="E198" s="60" t="s">
        <v>478</v>
      </c>
      <c r="F198" s="60" t="s">
        <v>479</v>
      </c>
    </row>
    <row r="199" spans="2:6">
      <c r="B199" s="60" t="s">
        <v>484</v>
      </c>
      <c r="C199" s="60" t="str">
        <f>IF(Sprache=Glossary!$D$9,D199,IF(Sprache=Glossary!$E$9,E199,IF(Sprache=Glossary!$F$9,Glossary!F199)))</f>
        <v>Anlagefonds: festverzinsliche Wertpapiere</v>
      </c>
      <c r="D199" s="60" t="s">
        <v>481</v>
      </c>
      <c r="E199" s="60" t="s">
        <v>482</v>
      </c>
      <c r="F199" s="60" t="s">
        <v>483</v>
      </c>
    </row>
    <row r="200" spans="2:6">
      <c r="B200" s="60" t="s">
        <v>488</v>
      </c>
      <c r="C200" s="60" t="str">
        <f>IF(Sprache=Glossary!$D$9,D200,IF(Sprache=Glossary!$E$9,E200,IF(Sprache=Glossary!$F$9,Glossary!F200)))</f>
        <v>Anlagefonds: Geldmarkt</v>
      </c>
      <c r="D200" s="60" t="s">
        <v>485</v>
      </c>
      <c r="E200" s="60" t="s">
        <v>486</v>
      </c>
      <c r="F200" s="60" t="s">
        <v>487</v>
      </c>
    </row>
    <row r="201" spans="2:6">
      <c r="B201" s="60" t="s">
        <v>492</v>
      </c>
      <c r="C201" s="60" t="str">
        <f>IF(Sprache=Glossary!$D$9,D201,IF(Sprache=Glossary!$E$9,E201,IF(Sprache=Glossary!$F$9,Glossary!F201)))</f>
        <v>Anlagefonds: Übrige</v>
      </c>
      <c r="D201" s="60" t="s">
        <v>489</v>
      </c>
      <c r="E201" s="60" t="s">
        <v>490</v>
      </c>
      <c r="F201" s="60" t="s">
        <v>491</v>
      </c>
    </row>
    <row r="202" spans="2:6">
      <c r="B202" s="60" t="s">
        <v>496</v>
      </c>
      <c r="C202" s="60" t="str">
        <f>IF(Sprache=Glossary!$D$9,D202,IF(Sprache=Glossary!$E$9,E202,IF(Sprache=Glossary!$F$9,Glossary!F202)))</f>
        <v>Anlagefonds: Gemischt</v>
      </c>
      <c r="D202" s="60" t="s">
        <v>493</v>
      </c>
      <c r="E202" s="60" t="s">
        <v>494</v>
      </c>
      <c r="F202" s="60" t="s">
        <v>495</v>
      </c>
    </row>
    <row r="204" spans="2:6">
      <c r="B204" s="60" t="s">
        <v>500</v>
      </c>
      <c r="C204" s="60" t="str">
        <f>IF(Sprache=Glossary!$D$9,D204,IF(Sprache=Glossary!$E$9,E204,IF(Sprache=Glossary!$F$9,Glossary!F204)))</f>
        <v>Alternative Kapitalanlagen</v>
      </c>
      <c r="D204" s="60" t="s">
        <v>497</v>
      </c>
      <c r="E204" s="60" t="s">
        <v>498</v>
      </c>
      <c r="F204" s="60" t="s">
        <v>499</v>
      </c>
    </row>
    <row r="205" spans="2:6">
      <c r="B205" s="60" t="s">
        <v>504</v>
      </c>
      <c r="C205" s="60" t="str">
        <f>IF(Sprache=Glossary!$D$9,D205,IF(Sprache=Glossary!$E$9,E205,IF(Sprache=Glossary!$F$9,Glossary!F205)))</f>
        <v>Hedgefonds</v>
      </c>
      <c r="D205" s="60" t="s">
        <v>501</v>
      </c>
      <c r="E205" s="60" t="s">
        <v>502</v>
      </c>
      <c r="F205" s="60" t="s">
        <v>503</v>
      </c>
    </row>
    <row r="206" spans="2:6">
      <c r="B206" s="60" t="s">
        <v>507</v>
      </c>
      <c r="C206" s="60" t="str">
        <f>IF(Sprache=Glossary!$D$9,D206,IF(Sprache=Glossary!$E$9,E206,IF(Sprache=Glossary!$F$9,Glossary!F206)))</f>
        <v>Private Equity</v>
      </c>
      <c r="D206" s="60" t="s">
        <v>505</v>
      </c>
      <c r="E206" s="60" t="s">
        <v>505</v>
      </c>
      <c r="F206" s="60" t="s">
        <v>506</v>
      </c>
    </row>
    <row r="207" spans="2:6">
      <c r="B207" s="60" t="s">
        <v>511</v>
      </c>
      <c r="C207" s="60" t="str">
        <f>IF(Sprache=Glossary!$D$9,D207,IF(Sprache=Glossary!$E$9,E207,IF(Sprache=Glossary!$F$9,Glossary!F207)))</f>
        <v>davon Partizipationen (Anteil &lt; 20%)</v>
      </c>
      <c r="D207" s="60" t="s">
        <v>508</v>
      </c>
      <c r="E207" s="60" t="s">
        <v>509</v>
      </c>
      <c r="F207" s="60" t="s">
        <v>510</v>
      </c>
    </row>
    <row r="209" spans="2:6">
      <c r="B209" s="60" t="s">
        <v>515</v>
      </c>
      <c r="C209" s="60" t="str">
        <f>IF(Sprache=Glossary!$D$9,D209,IF(Sprache=Glossary!$E$9,E209,IF(Sprache=Glossary!$F$9,Glossary!F209)))</f>
        <v>Andere Alternative Kapitalanlagen</v>
      </c>
      <c r="D209" s="60" t="s">
        <v>512</v>
      </c>
      <c r="E209" s="60" t="s">
        <v>513</v>
      </c>
      <c r="F209" s="60" t="s">
        <v>514</v>
      </c>
    </row>
    <row r="210" spans="2:6">
      <c r="B210" s="60" t="s">
        <v>518</v>
      </c>
      <c r="C210" s="60" t="str">
        <f>IF(Sprache=Glossary!$D$9,D210,IF(Sprache=Glossary!$E$9,E210,IF(Sprache=Glossary!$F$9,Glossary!F210)))</f>
        <v>Private Debt</v>
      </c>
      <c r="D210" s="60" t="s">
        <v>516</v>
      </c>
      <c r="E210" s="60" t="s">
        <v>516</v>
      </c>
      <c r="F210" s="60" t="s">
        <v>517</v>
      </c>
    </row>
    <row r="211" spans="2:6">
      <c r="B211" s="60" t="s">
        <v>522</v>
      </c>
      <c r="C211" s="60" t="str">
        <f>IF(Sprache=Glossary!$D$9,D211,IF(Sprache=Glossary!$E$9,E211,IF(Sprache=Glossary!$F$9,Glossary!F211)))</f>
        <v>Senior Secured Loans</v>
      </c>
      <c r="D211" s="60" t="s">
        <v>519</v>
      </c>
      <c r="E211" s="60" t="s">
        <v>520</v>
      </c>
      <c r="F211" s="60" t="s">
        <v>521</v>
      </c>
    </row>
    <row r="212" spans="2:6">
      <c r="B212" s="60" t="s">
        <v>526</v>
      </c>
      <c r="C212" s="60" t="str">
        <f>IF(Sprache=Glossary!$D$9,D212,IF(Sprache=Glossary!$E$9,E212,IF(Sprache=Glossary!$F$9,Glossary!F212)))</f>
        <v>Rohstoffe</v>
      </c>
      <c r="D212" s="60" t="s">
        <v>523</v>
      </c>
      <c r="E212" s="60" t="s">
        <v>524</v>
      </c>
      <c r="F212" s="60" t="s">
        <v>525</v>
      </c>
    </row>
    <row r="214" spans="2:6">
      <c r="B214" s="60" t="s">
        <v>530</v>
      </c>
      <c r="C214" s="60" t="str">
        <f>IF(Sprache=Glossary!$D$9,D214,IF(Sprache=Glossary!$E$9,E214,IF(Sprache=Glossary!$F$9,Glossary!F214)))</f>
        <v>Strukturierte Produkte</v>
      </c>
      <c r="D214" s="60" t="s">
        <v>527</v>
      </c>
      <c r="E214" s="60" t="s">
        <v>528</v>
      </c>
      <c r="F214" s="60" t="s">
        <v>529</v>
      </c>
    </row>
    <row r="215" spans="2:6">
      <c r="B215" s="60" t="s">
        <v>534</v>
      </c>
      <c r="C215" s="60" t="str">
        <f>IF(Sprache=Glossary!$D$9,D215,IF(Sprache=Glossary!$E$9,E215,IF(Sprache=Glossary!$F$9,Glossary!F215)))</f>
        <v>Insurance-Linked Securities (z.B. Cat Bonds)</v>
      </c>
      <c r="D215" s="60" t="s">
        <v>531</v>
      </c>
      <c r="E215" s="60" t="s">
        <v>532</v>
      </c>
      <c r="F215" s="60" t="s">
        <v>533</v>
      </c>
    </row>
    <row r="216" spans="2:6">
      <c r="B216" s="60" t="s">
        <v>538</v>
      </c>
      <c r="C216" s="60" t="str">
        <f>IF(Sprache=Glossary!$D$9,D216,IF(Sprache=Glossary!$E$9,E216,IF(Sprache=Glossary!$F$9,Glossary!F216)))</f>
        <v>Andere strukturierte Produkte</v>
      </c>
      <c r="D216" s="60" t="s">
        <v>535</v>
      </c>
      <c r="E216" s="60" t="s">
        <v>536</v>
      </c>
      <c r="F216" s="60" t="s">
        <v>537</v>
      </c>
    </row>
    <row r="218" spans="2:6">
      <c r="B218" s="60" t="s">
        <v>542</v>
      </c>
      <c r="C218" s="60" t="str">
        <f>IF(Sprache=Glossary!$D$9,D218,IF(Sprache=Glossary!$E$9,E218,IF(Sprache=Glossary!$F$9,Glossary!F218)))</f>
        <v>Sonstige Kapitalanlagen</v>
      </c>
      <c r="D218" s="60" t="s">
        <v>539</v>
      </c>
      <c r="E218" s="60" t="s">
        <v>540</v>
      </c>
      <c r="F218" s="60" t="s">
        <v>541</v>
      </c>
    </row>
    <row r="219" spans="2:6">
      <c r="B219" s="60" t="s">
        <v>546</v>
      </c>
      <c r="C219" s="60" t="str">
        <f>IF(Sprache=Glossary!$D$9,D219,IF(Sprache=Glossary!$E$9,E219,IF(Sprache=Glossary!$F$9,Glossary!F219)))</f>
        <v>Verbriefte Forderungen</v>
      </c>
      <c r="D219" s="60" t="s">
        <v>543</v>
      </c>
      <c r="E219" s="60" t="s">
        <v>544</v>
      </c>
      <c r="F219" s="60" t="s">
        <v>545</v>
      </c>
    </row>
    <row r="220" spans="2:6">
      <c r="B220" s="60" t="s">
        <v>549</v>
      </c>
      <c r="C220" s="60" t="str">
        <f>IF(Sprache=Glossary!$D$9,D220,IF(Sprache=Glossary!$E$9,E220,IF(Sprache=Glossary!$F$9,Glossary!F220)))</f>
        <v>Asset Backed Securities (ABS)</v>
      </c>
      <c r="D220" s="60" t="s">
        <v>547</v>
      </c>
      <c r="E220" s="60" t="s">
        <v>548</v>
      </c>
      <c r="F220" s="60" t="s">
        <v>548</v>
      </c>
    </row>
    <row r="221" spans="2:6">
      <c r="B221" s="60" t="s">
        <v>552</v>
      </c>
      <c r="C221" s="60" t="str">
        <f>IF(Sprache=Glossary!$D$9,D221,IF(Sprache=Glossary!$E$9,E221,IF(Sprache=Glossary!$F$9,Glossary!F221)))</f>
        <v>Mortgage Backed Securities (MBS)</v>
      </c>
      <c r="D221" s="60" t="s">
        <v>550</v>
      </c>
      <c r="E221" s="60" t="s">
        <v>551</v>
      </c>
      <c r="F221" s="60" t="s">
        <v>551</v>
      </c>
    </row>
    <row r="222" spans="2:6">
      <c r="B222" s="60" t="s">
        <v>556</v>
      </c>
      <c r="C222" s="60" t="str">
        <f>IF(Sprache=Glossary!$D$9,D222,IF(Sprache=Glossary!$E$9,E222,IF(Sprache=Glossary!$F$9,Glossary!F222)))</f>
        <v>Collateralized Debt Obligations (CDO) und Collateralized Loan Obligations (CLO)</v>
      </c>
      <c r="D222" s="60" t="s">
        <v>553</v>
      </c>
      <c r="E222" s="60" t="s">
        <v>554</v>
      </c>
      <c r="F222" s="60" t="s">
        <v>555</v>
      </c>
    </row>
    <row r="223" spans="2:6">
      <c r="B223" s="60" t="s">
        <v>560</v>
      </c>
      <c r="C223" s="60" t="str">
        <f>IF(Sprache=Glossary!$D$9,D223,IF(Sprache=Glossary!$E$9,E223,IF(Sprache=Glossary!$F$9,Glossary!F223)))</f>
        <v>Sonstige verbriefte Forderungen</v>
      </c>
      <c r="D223" s="60" t="s">
        <v>557</v>
      </c>
      <c r="E223" s="60" t="s">
        <v>558</v>
      </c>
      <c r="F223" s="60" t="s">
        <v>559</v>
      </c>
    </row>
    <row r="224" spans="2:6">
      <c r="B224" s="60" t="s">
        <v>564</v>
      </c>
      <c r="C224" s="60" t="str">
        <f>IF(Sprache=Glossary!$D$9,D224,IF(Sprache=Glossary!$E$9,E224,IF(Sprache=Glossary!$F$9,Glossary!F224)))</f>
        <v>Andere Kapitalanlagen (Infrastrukturanlagen, Currency Overlay, u.a.)</v>
      </c>
      <c r="D224" s="60" t="s">
        <v>561</v>
      </c>
      <c r="E224" s="60" t="s">
        <v>562</v>
      </c>
      <c r="F224" s="60" t="s">
        <v>563</v>
      </c>
    </row>
    <row r="226" spans="2:6">
      <c r="B226" s="60" t="s">
        <v>568</v>
      </c>
      <c r="C226" s="60" t="str">
        <f>IF(Sprache=Glossary!$D$9,D226,IF(Sprache=Glossary!$E$9,E226,IF(Sprache=Glossary!$F$9,Glossary!F226)))</f>
        <v>Schwankungsreserven Kapitalanlagen (ohne anteilgebundene Lebensversicherung)</v>
      </c>
      <c r="D226" s="60" t="s">
        <v>565</v>
      </c>
      <c r="E226" s="60" t="s">
        <v>566</v>
      </c>
      <c r="F226" s="60" t="s">
        <v>567</v>
      </c>
    </row>
    <row r="228" spans="2:6">
      <c r="B228" s="60" t="s">
        <v>572</v>
      </c>
      <c r="C228" s="60" t="str">
        <f>IF(Sprache=Glossary!$D$9,D228,IF(Sprache=Glossary!$E$9,E228,IF(Sprache=Glossary!$F$9,Glossary!F228)))</f>
        <v>Total Kapitalanlagen</v>
      </c>
      <c r="D228" s="60" t="s">
        <v>569</v>
      </c>
      <c r="E228" s="60" t="s">
        <v>570</v>
      </c>
      <c r="F228" s="60" t="s">
        <v>571</v>
      </c>
    </row>
    <row r="230" spans="2:6">
      <c r="B230" s="60" t="s">
        <v>576</v>
      </c>
      <c r="C230" s="60" t="str">
        <f>IF(Sprache=Glossary!$D$9,D230,IF(Sprache=Glossary!$E$9,E230,IF(Sprache=Glossary!$F$9,Glossary!F230)))</f>
        <v>Übrige Aktiven</v>
      </c>
      <c r="D230" s="60" t="s">
        <v>573</v>
      </c>
      <c r="E230" s="60" t="s">
        <v>574</v>
      </c>
      <c r="F230" s="60" t="s">
        <v>575</v>
      </c>
    </row>
    <row r="232" spans="2:6">
      <c r="B232" s="60" t="s">
        <v>580</v>
      </c>
      <c r="C232" s="60" t="str">
        <f>IF(Sprache=Glossary!$D$9,D232,IF(Sprache=Glossary!$E$9,E232,IF(Sprache=Glossary!$F$9,Glossary!F232)))</f>
        <v>1.2 Kapitalanlagen aus anteilgebundener Lebensversicherung</v>
      </c>
      <c r="D232" s="60" t="s">
        <v>577</v>
      </c>
      <c r="E232" s="60" t="s">
        <v>578</v>
      </c>
      <c r="F232" s="60" t="s">
        <v>579</v>
      </c>
    </row>
    <row r="233" spans="2:6">
      <c r="B233" s="60" t="s">
        <v>584</v>
      </c>
      <c r="C233" s="60" t="str">
        <f>IF(Sprache=Glossary!$D$9,D233,IF(Sprache=Glossary!$E$9,E233,IF(Sprache=Glossary!$F$9,Glossary!F233)))</f>
        <v>Fondsanteilgebundene Lebensversicherung</v>
      </c>
      <c r="D233" s="60" t="s">
        <v>581</v>
      </c>
      <c r="E233" s="60" t="s">
        <v>582</v>
      </c>
      <c r="F233" s="60" t="s">
        <v>583</v>
      </c>
    </row>
    <row r="235" spans="2:6">
      <c r="B235" s="60" t="s">
        <v>588</v>
      </c>
      <c r="C235" s="60" t="str">
        <f>IF(Sprache=Glossary!$D$9,D235,IF(Sprache=Glossary!$E$9,E235,IF(Sprache=Glossary!$F$9,Glossary!F235)))</f>
        <v>An interne Anlagebestände oder andere Bezugswerte gebundene Lebensversicherung</v>
      </c>
      <c r="D235" s="60" t="s">
        <v>585</v>
      </c>
      <c r="E235" s="60" t="s">
        <v>586</v>
      </c>
      <c r="F235" s="60" t="s">
        <v>587</v>
      </c>
    </row>
    <row r="236" spans="2:6">
      <c r="B236" s="60" t="s">
        <v>592</v>
      </c>
      <c r="C236" s="60" t="str">
        <f>IF(Sprache=Glossary!$D$9,D236,IF(Sprache=Glossary!$E$9,E236,IF(Sprache=Glossary!$F$9,Glossary!F236)))</f>
        <v>Immobilien</v>
      </c>
      <c r="D236" s="60" t="s">
        <v>589</v>
      </c>
      <c r="E236" s="60" t="s">
        <v>590</v>
      </c>
      <c r="F236" s="60" t="s">
        <v>591</v>
      </c>
    </row>
    <row r="237" spans="2:6">
      <c r="B237" s="60" t="s">
        <v>596</v>
      </c>
      <c r="C237" s="60" t="str">
        <f>IF(Sprache=Glossary!$D$9,D237,IF(Sprache=Glossary!$E$9,E237,IF(Sprache=Glossary!$F$9,Glossary!F237)))</f>
        <v>Festverzinsliche Wertpapiere, Darlehen</v>
      </c>
      <c r="D237" s="60" t="s">
        <v>593</v>
      </c>
      <c r="E237" s="60" t="s">
        <v>594</v>
      </c>
      <c r="F237" s="60" t="s">
        <v>595</v>
      </c>
    </row>
    <row r="238" spans="2:6">
      <c r="B238" s="60" t="s">
        <v>600</v>
      </c>
      <c r="C238" s="60" t="str">
        <f>IF(Sprache=Glossary!$D$9,D238,IF(Sprache=Glossary!$E$9,E238,IF(Sprache=Glossary!$F$9,Glossary!F238)))</f>
        <v>Hypotheken</v>
      </c>
      <c r="D238" s="60" t="s">
        <v>597</v>
      </c>
      <c r="E238" s="60" t="s">
        <v>598</v>
      </c>
      <c r="F238" s="60" t="s">
        <v>599</v>
      </c>
    </row>
    <row r="239" spans="2:6">
      <c r="B239" s="60" t="s">
        <v>601</v>
      </c>
      <c r="C239" s="60" t="str">
        <f>IF(Sprache=Glossary!$D$9,D239,IF(Sprache=Glossary!$E$9,E239,IF(Sprache=Glossary!$F$9,Glossary!F239)))</f>
        <v>Aktien und ähnliche Wertschriften</v>
      </c>
      <c r="D239" s="60" t="s">
        <v>453</v>
      </c>
      <c r="E239" s="60" t="s">
        <v>454</v>
      </c>
      <c r="F239" s="60" t="s">
        <v>455</v>
      </c>
    </row>
    <row r="240" spans="2:6">
      <c r="B240" s="60" t="s">
        <v>604</v>
      </c>
      <c r="C240" s="60" t="str">
        <f>IF(Sprache=Glossary!$D$9,D240,IF(Sprache=Glossary!$E$9,E240,IF(Sprache=Glossary!$F$9,Glossary!F240)))</f>
        <v>Alternative Anlagen</v>
      </c>
      <c r="D240" s="60" t="s">
        <v>602</v>
      </c>
      <c r="E240" s="60" t="s">
        <v>603</v>
      </c>
      <c r="F240" s="60" t="s">
        <v>499</v>
      </c>
    </row>
    <row r="241" spans="2:6">
      <c r="B241" s="60" t="s">
        <v>607</v>
      </c>
      <c r="C241" s="60" t="str">
        <f>IF(Sprache=Glossary!$D$9,D241,IF(Sprache=Glossary!$E$9,E241,IF(Sprache=Glossary!$F$9,Glossary!F241)))</f>
        <v>Übrige Anlagen</v>
      </c>
      <c r="D241" s="60" t="s">
        <v>605</v>
      </c>
      <c r="E241" s="60" t="s">
        <v>606</v>
      </c>
      <c r="F241" s="60" t="s">
        <v>541</v>
      </c>
    </row>
    <row r="243" spans="2:6">
      <c r="B243" s="60" t="s">
        <v>611</v>
      </c>
      <c r="C243" s="60" t="str">
        <f>IF(Sprache=Glossary!$D$9,D243,IF(Sprache=Glossary!$E$9,E243,IF(Sprache=Glossary!$F$9,Glossary!F243)))</f>
        <v>Schwankungsreserven Kapitalanlagen aus anteilgebundener Lebensversicherung</v>
      </c>
      <c r="D243" s="60" t="s">
        <v>608</v>
      </c>
      <c r="E243" s="60" t="s">
        <v>609</v>
      </c>
      <c r="F243" s="60" t="s">
        <v>610</v>
      </c>
    </row>
    <row r="245" spans="2:6">
      <c r="B245" s="60" t="s">
        <v>615</v>
      </c>
      <c r="C245" s="60" t="str">
        <f>IF(Sprache=Glossary!$D$9,D245,IF(Sprache=Glossary!$E$9,E245,IF(Sprache=Glossary!$F$9,Glossary!F245)))</f>
        <v>1.3 Forderungen aus derivativen Finanzinstrumenten</v>
      </c>
      <c r="D245" s="60" t="s">
        <v>612</v>
      </c>
      <c r="E245" s="60" t="s">
        <v>613</v>
      </c>
      <c r="F245" s="60" t="s">
        <v>614</v>
      </c>
    </row>
    <row r="246" spans="2:6">
      <c r="B246" s="60" t="s">
        <v>619</v>
      </c>
      <c r="C246" s="60" t="str">
        <f>IF(Sprache=Glossary!$D$9,D246,IF(Sprache=Glossary!$E$9,E246,IF(Sprache=Glossary!$F$9,Glossary!F246)))</f>
        <v>Zinsrisikobezogene Instrumente</v>
      </c>
      <c r="D246" s="60" t="s">
        <v>616</v>
      </c>
      <c r="E246" s="60" t="s">
        <v>617</v>
      </c>
      <c r="F246" s="60" t="s">
        <v>618</v>
      </c>
    </row>
    <row r="247" spans="2:6">
      <c r="B247" s="60" t="s">
        <v>623</v>
      </c>
      <c r="C247" s="60" t="str">
        <f>IF(Sprache=Glossary!$D$9,D247,IF(Sprache=Glossary!$E$9,E247,IF(Sprache=Glossary!$F$9,Glossary!F247)))</f>
        <v>Währungsrisikobezogene Instrumente</v>
      </c>
      <c r="D247" s="60" t="s">
        <v>620</v>
      </c>
      <c r="E247" s="60" t="s">
        <v>621</v>
      </c>
      <c r="F247" s="60" t="s">
        <v>622</v>
      </c>
    </row>
    <row r="248" spans="2:6">
      <c r="B248" s="60" t="s">
        <v>627</v>
      </c>
      <c r="C248" s="60" t="str">
        <f>IF(Sprache=Glossary!$D$9,D248,IF(Sprache=Glossary!$E$9,E248,IF(Sprache=Glossary!$F$9,Glossary!F248)))</f>
        <v>(Aktien-)Marktrisikobezogene Instrumente</v>
      </c>
      <c r="D248" s="60" t="s">
        <v>624</v>
      </c>
      <c r="E248" s="60" t="s">
        <v>625</v>
      </c>
      <c r="F248" s="60" t="s">
        <v>626</v>
      </c>
    </row>
    <row r="249" spans="2:6">
      <c r="B249" s="60" t="s">
        <v>631</v>
      </c>
      <c r="C249" s="60" t="str">
        <f>IF(Sprache=Glossary!$D$9,D249,IF(Sprache=Glossary!$E$9,E249,IF(Sprache=Glossary!$F$9,Glossary!F249)))</f>
        <v>Kreditrisikobezogene Instrumente</v>
      </c>
      <c r="D249" s="60" t="s">
        <v>628</v>
      </c>
      <c r="E249" s="60" t="s">
        <v>629</v>
      </c>
      <c r="F249" s="60" t="s">
        <v>630</v>
      </c>
    </row>
    <row r="250" spans="2:6">
      <c r="B250" s="60" t="s">
        <v>635</v>
      </c>
      <c r="C250" s="60" t="str">
        <f>IF(Sprache=Glossary!$D$9,D250,IF(Sprache=Glossary!$E$9,E250,IF(Sprache=Glossary!$F$9,Glossary!F250)))</f>
        <v>Versicherungsrisikobezogene Instrumente (z.B. Cat Derivate)</v>
      </c>
      <c r="D250" s="60" t="s">
        <v>632</v>
      </c>
      <c r="E250" s="60" t="s">
        <v>633</v>
      </c>
      <c r="F250" s="60" t="s">
        <v>634</v>
      </c>
    </row>
    <row r="251" spans="2:6">
      <c r="B251" s="60" t="s">
        <v>639</v>
      </c>
      <c r="C251" s="60" t="str">
        <f>IF(Sprache=Glossary!$D$9,D251,IF(Sprache=Glossary!$E$9,E251,IF(Sprache=Glossary!$F$9,Glossary!F251)))</f>
        <v>Übrige derivative Instrumente</v>
      </c>
      <c r="D251" s="60" t="s">
        <v>636</v>
      </c>
      <c r="E251" s="60" t="s">
        <v>637</v>
      </c>
      <c r="F251" s="60" t="s">
        <v>638</v>
      </c>
    </row>
    <row r="253" spans="2:6">
      <c r="B253" s="60" t="s">
        <v>643</v>
      </c>
      <c r="C253" s="60" t="str">
        <f>IF(Sprache=Glossary!$D$9,D253,IF(Sprache=Glossary!$E$9,E253,IF(Sprache=Glossary!$F$9,Glossary!F253)))</f>
        <v>1.4 Depotforderungen aus übernommener Rückversicherung</v>
      </c>
      <c r="D253" s="60" t="s">
        <v>640</v>
      </c>
      <c r="E253" s="60" t="s">
        <v>641</v>
      </c>
      <c r="F253" s="60" t="s">
        <v>642</v>
      </c>
    </row>
    <row r="255" spans="2:6">
      <c r="B255" s="60" t="s">
        <v>647</v>
      </c>
      <c r="C255" s="60" t="str">
        <f>IF(Sprache=Glossary!$D$9,D255,IF(Sprache=Glossary!$E$9,E255,IF(Sprache=Glossary!$F$9,Glossary!F255)))</f>
        <v>1.5 Flüssige Mittel</v>
      </c>
      <c r="D255" s="60" t="s">
        <v>644</v>
      </c>
      <c r="E255" s="60" t="s">
        <v>645</v>
      </c>
      <c r="F255" s="60" t="s">
        <v>646</v>
      </c>
    </row>
    <row r="256" spans="2:6">
      <c r="B256" s="60" t="s">
        <v>651</v>
      </c>
      <c r="C256" s="60" t="str">
        <f>IF(Sprache=Glossary!$D$9,D256,IF(Sprache=Glossary!$E$9,E256,IF(Sprache=Glossary!$F$9,Glossary!F256)))</f>
        <v>Bargeld</v>
      </c>
      <c r="D256" s="60" t="s">
        <v>648</v>
      </c>
      <c r="E256" s="60" t="s">
        <v>649</v>
      </c>
      <c r="F256" s="60" t="s">
        <v>650</v>
      </c>
    </row>
    <row r="257" spans="2:6">
      <c r="B257" s="60" t="s">
        <v>655</v>
      </c>
      <c r="C257" s="60" t="str">
        <f>IF(Sprache=Glossary!$D$9,D257,IF(Sprache=Glossary!$E$9,E257,IF(Sprache=Glossary!$F$9,Glossary!F257)))</f>
        <v>Bankguthaben</v>
      </c>
      <c r="D257" s="60" t="s">
        <v>652</v>
      </c>
      <c r="E257" s="60" t="s">
        <v>653</v>
      </c>
      <c r="F257" s="60" t="s">
        <v>654</v>
      </c>
    </row>
    <row r="258" spans="2:6">
      <c r="B258" s="60" t="s">
        <v>659</v>
      </c>
      <c r="C258" s="60" t="str">
        <f>IF(Sprache=Glossary!$D$9,D258,IF(Sprache=Glossary!$E$9,E258,IF(Sprache=Glossary!$F$9,Glossary!F258)))</f>
        <v>Forderungen aus Geldmarktanlagen</v>
      </c>
      <c r="D258" s="60" t="s">
        <v>656</v>
      </c>
      <c r="E258" s="60" t="s">
        <v>657</v>
      </c>
      <c r="F258" s="60" t="s">
        <v>658</v>
      </c>
    </row>
    <row r="260" spans="2:6">
      <c r="B260" s="60" t="s">
        <v>663</v>
      </c>
      <c r="C260" s="60" t="str">
        <f>IF(Sprache=Glossary!$D$9,D260,IF(Sprache=Glossary!$E$9,E260,IF(Sprache=Glossary!$F$9,Glossary!F260)))</f>
        <v>1.6 Anteil versicherungstechnische Rückstellungen aus Rückversicherung</v>
      </c>
      <c r="D260" s="60" t="s">
        <v>660</v>
      </c>
      <c r="E260" s="60" t="s">
        <v>661</v>
      </c>
      <c r="F260" s="60" t="s">
        <v>662</v>
      </c>
    </row>
    <row r="261" spans="2:6">
      <c r="B261" s="60" t="s">
        <v>666</v>
      </c>
      <c r="C261" s="60" t="str">
        <f>IF(Sprache=Glossary!$D$9,D261,IF(Sprache=Glossary!$E$9,E261,IF(Sprache=Glossary!$F$9,Glossary!F261)))</f>
        <v>Direktversicherung: Lebensversicherungsgeschäft (ohne ALV)</v>
      </c>
      <c r="D261" s="60" t="s">
        <v>664</v>
      </c>
      <c r="E261" s="60" t="s">
        <v>1147</v>
      </c>
      <c r="F261" s="60" t="s">
        <v>665</v>
      </c>
    </row>
    <row r="262" spans="2:6">
      <c r="B262" s="60" t="s">
        <v>670</v>
      </c>
      <c r="C262" s="60" t="str">
        <f>IF(Sprache=Glossary!$D$9,D262,IF(Sprache=Glossary!$E$9,E262,IF(Sprache=Glossary!$F$9,Glossary!F262)))</f>
        <v>davon Anteil Rückversicherer (Leben) am Überschussfonds</v>
      </c>
      <c r="D262" s="60" t="s">
        <v>667</v>
      </c>
      <c r="E262" s="60" t="s">
        <v>668</v>
      </c>
      <c r="F262" s="60" t="s">
        <v>669</v>
      </c>
    </row>
    <row r="263" spans="2:6">
      <c r="B263" s="60" t="s">
        <v>672</v>
      </c>
      <c r="C263" s="60" t="str">
        <f>IF(Sprache=Glossary!$D$9,D263,IF(Sprache=Glossary!$E$9,E263,IF(Sprache=Glossary!$F$9,Glossary!F263)))</f>
        <v>Aktive Rückversicherung: Lebensversicherungsgeschäft (ohne ALV)</v>
      </c>
      <c r="D263" s="60" t="s">
        <v>671</v>
      </c>
      <c r="E263" s="60" t="s">
        <v>1148</v>
      </c>
      <c r="F263" s="60" t="s">
        <v>1163</v>
      </c>
    </row>
    <row r="264" spans="2:6">
      <c r="B264" s="60" t="s">
        <v>676</v>
      </c>
      <c r="C264" s="60" t="str">
        <f>IF(Sprache=Glossary!$D$9,D264,IF(Sprache=Glossary!$E$9,E264,IF(Sprache=Glossary!$F$9,Glossary!F264)))</f>
        <v>Direktversicherung: Schadenversicherungsgeschäft</v>
      </c>
      <c r="D264" s="60" t="s">
        <v>673</v>
      </c>
      <c r="E264" s="60" t="s">
        <v>674</v>
      </c>
      <c r="F264" s="60" t="s">
        <v>675</v>
      </c>
    </row>
    <row r="265" spans="2:6">
      <c r="B265" s="60" t="s">
        <v>677</v>
      </c>
      <c r="C265" s="60" t="str">
        <f>IF(Sprache=Glossary!$D$9,D265,IF(Sprache=Glossary!$E$9,E265,IF(Sprache=Glossary!$F$9,Glossary!F265)))</f>
        <v>Direktversicherung: Schadenversicherungsgeschäft - verdientes Geschäft</v>
      </c>
      <c r="D265" s="60" t="s">
        <v>1022</v>
      </c>
      <c r="E265" s="60" t="s">
        <v>1023</v>
      </c>
      <c r="F265" s="60" t="s">
        <v>1024</v>
      </c>
    </row>
    <row r="266" spans="2:6">
      <c r="B266" s="60" t="s">
        <v>681</v>
      </c>
      <c r="C266" s="60" t="str">
        <f>IF(Sprache=Glossary!$D$9,D266,IF(Sprache=Glossary!$E$9,E266,IF(Sprache=Glossary!$F$9,Glossary!F266)))</f>
        <v>Direktversicherung: Schadenversicherungsgeschäft - unverdientes Geschäft</v>
      </c>
      <c r="D266" s="60" t="s">
        <v>1025</v>
      </c>
      <c r="E266" s="60" t="s">
        <v>1026</v>
      </c>
      <c r="F266" s="60" t="s">
        <v>1027</v>
      </c>
    </row>
    <row r="267" spans="2:6">
      <c r="B267" s="60" t="s">
        <v>685</v>
      </c>
      <c r="C267" s="60" t="str">
        <f>IF(Sprache=Glossary!$D$9,D267,IF(Sprache=Glossary!$E$9,E267,IF(Sprache=Glossary!$F$9,Glossary!F267)))</f>
        <v>Anteil Rückversicherer (Schaden) am Überschussfonds</v>
      </c>
      <c r="D267" s="60" t="s">
        <v>1028</v>
      </c>
      <c r="E267" s="60" t="s">
        <v>1139</v>
      </c>
      <c r="F267" s="60" t="s">
        <v>1140</v>
      </c>
    </row>
    <row r="268" spans="2:6">
      <c r="B268" s="60" t="s">
        <v>688</v>
      </c>
      <c r="C268" s="60" t="str">
        <f>IF(Sprache=Glossary!$D$9,D268,IF(Sprache=Glossary!$E$9,E268,IF(Sprache=Glossary!$F$9,Glossary!F268)))</f>
        <v>Direktversicherung: Krankenversicherungsgeschäft</v>
      </c>
      <c r="D268" s="60" t="s">
        <v>678</v>
      </c>
      <c r="E268" s="60" t="s">
        <v>679</v>
      </c>
      <c r="F268" s="60" t="s">
        <v>680</v>
      </c>
    </row>
    <row r="269" spans="2:6">
      <c r="B269" s="60" t="s">
        <v>692</v>
      </c>
      <c r="C269" s="60" t="str">
        <f>IF(Sprache=Glossary!$D$9,D269,IF(Sprache=Glossary!$E$9,E269,IF(Sprache=Glossary!$F$9,Glossary!F269)))</f>
        <v>davon Anteil Rückversicherer (Kranken) am Überschussfonds</v>
      </c>
      <c r="D269" s="60" t="s">
        <v>682</v>
      </c>
      <c r="E269" s="60" t="s">
        <v>683</v>
      </c>
      <c r="F269" s="60" t="s">
        <v>684</v>
      </c>
    </row>
    <row r="270" spans="2:6">
      <c r="B270" s="60" t="s">
        <v>693</v>
      </c>
      <c r="C270" s="60" t="str">
        <f>IF(Sprache=Glossary!$D$9,D270,IF(Sprache=Glossary!$E$9,E270,IF(Sprache=Glossary!$F$9,Glossary!F270)))</f>
        <v>Aktive Rückversicherung: Schadenversicherungsgeschäft</v>
      </c>
      <c r="D270" s="60" t="s">
        <v>686</v>
      </c>
      <c r="E270" s="60" t="s">
        <v>687</v>
      </c>
      <c r="F270" s="60" t="s">
        <v>1149</v>
      </c>
    </row>
    <row r="271" spans="2:6">
      <c r="B271" s="60" t="s">
        <v>694</v>
      </c>
      <c r="C271" s="60" t="str">
        <f>IF(Sprache=Glossary!$D$9,D271,IF(Sprache=Glossary!$E$9,E271,IF(Sprache=Glossary!$F$9,Glossary!F271)))</f>
        <v>Aktive Rückversicherung (Schaden) - verdientes Geschäft</v>
      </c>
      <c r="D271" s="60" t="s">
        <v>1029</v>
      </c>
      <c r="E271" s="60" t="s">
        <v>1030</v>
      </c>
      <c r="F271" s="60" t="s">
        <v>1031</v>
      </c>
    </row>
    <row r="272" spans="2:6">
      <c r="B272" s="60" t="s">
        <v>697</v>
      </c>
      <c r="C272" s="60" t="str">
        <f>IF(Sprache=Glossary!$D$9,D272,IF(Sprache=Glossary!$E$9,E272,IF(Sprache=Glossary!$F$9,Glossary!F272)))</f>
        <v>Aktive Rückversicherung (Schaden) - unverdientes Geschäft</v>
      </c>
      <c r="D272" s="60" t="s">
        <v>1032</v>
      </c>
      <c r="E272" s="60" t="s">
        <v>1033</v>
      </c>
      <c r="F272" s="60" t="s">
        <v>1034</v>
      </c>
    </row>
    <row r="273" spans="2:6">
      <c r="B273" s="60" t="s">
        <v>699</v>
      </c>
      <c r="C273" s="60" t="str">
        <f>IF(Sprache=Glossary!$D$9,D273,IF(Sprache=Glossary!$E$9,E273,IF(Sprache=Glossary!$F$9,Glossary!F273)))</f>
        <v>Aktive Rückversicherung: Krankenversicherungsgeschäft</v>
      </c>
      <c r="D273" s="60" t="s">
        <v>689</v>
      </c>
      <c r="E273" s="60" t="s">
        <v>690</v>
      </c>
      <c r="F273" s="60" t="s">
        <v>691</v>
      </c>
    </row>
    <row r="274" spans="2:6">
      <c r="B274" s="60" t="s">
        <v>703</v>
      </c>
      <c r="C274" s="60" t="str">
        <f>IF(Sprache=Glossary!$D$9,D274,IF(Sprache=Glossary!$E$9,E274,IF(Sprache=Glossary!$F$9,Glossary!F274)))</f>
        <v>Direktversicherung: Anteilgebundenes Lebensversicherungsgeschäft</v>
      </c>
      <c r="D274" s="60" t="s">
        <v>695</v>
      </c>
      <c r="E274" s="60" t="s">
        <v>1150</v>
      </c>
      <c r="F274" s="60" t="s">
        <v>696</v>
      </c>
    </row>
    <row r="275" spans="2:6">
      <c r="B275" s="60" t="s">
        <v>707</v>
      </c>
      <c r="C275" s="60" t="str">
        <f>IF(Sprache=Glossary!$D$9,D275,IF(Sprache=Glossary!$E$9,E275,IF(Sprache=Glossary!$F$9,Glossary!F275)))</f>
        <v>Aktive Rückversicherung: Anteilgebundenes Lebensversicherungsgeschäft</v>
      </c>
      <c r="D275" s="60" t="s">
        <v>698</v>
      </c>
      <c r="E275" s="60" t="s">
        <v>1151</v>
      </c>
      <c r="F275" s="60" t="s">
        <v>1162</v>
      </c>
    </row>
    <row r="277" spans="2:6">
      <c r="B277" s="60" t="s">
        <v>711</v>
      </c>
      <c r="C277" s="60" t="str">
        <f>IF(Sprache=Glossary!$D$9,D277,IF(Sprache=Glossary!$E$9,E277,IF(Sprache=Glossary!$F$9,Glossary!F277)))</f>
        <v>1.7 Sachanlagen</v>
      </c>
      <c r="D277" s="60" t="s">
        <v>700</v>
      </c>
      <c r="E277" s="60" t="s">
        <v>701</v>
      </c>
      <c r="F277" s="60" t="s">
        <v>702</v>
      </c>
    </row>
    <row r="278" spans="2:6">
      <c r="B278" s="60" t="s">
        <v>715</v>
      </c>
      <c r="C278" s="60" t="str">
        <f>IF(Sprache=Glossary!$D$9,D278,IF(Sprache=Glossary!$E$9,E278,IF(Sprache=Glossary!$F$9,Glossary!F278)))</f>
        <v>Betriebsliegenschaften</v>
      </c>
      <c r="D278" s="60" t="s">
        <v>704</v>
      </c>
      <c r="E278" s="60" t="s">
        <v>705</v>
      </c>
      <c r="F278" s="60" t="s">
        <v>706</v>
      </c>
    </row>
    <row r="279" spans="2:6">
      <c r="B279" s="60" t="s">
        <v>719</v>
      </c>
      <c r="C279" s="60" t="str">
        <f>IF(Sprache=Glossary!$D$9,D279,IF(Sprache=Glossary!$E$9,E279,IF(Sprache=Glossary!$F$9,Glossary!F279)))</f>
        <v>Sonstige Sachanlagen</v>
      </c>
      <c r="D279" s="60" t="s">
        <v>708</v>
      </c>
      <c r="E279" s="60" t="s">
        <v>709</v>
      </c>
      <c r="F279" s="60" t="s">
        <v>710</v>
      </c>
    </row>
    <row r="281" spans="2:6">
      <c r="B281" s="60" t="s">
        <v>723</v>
      </c>
      <c r="C281" s="60" t="str">
        <f>IF(Sprache=Glossary!$D$9,D281,IF(Sprache=Glossary!$E$9,E281,IF(Sprache=Glossary!$F$9,Glossary!F281)))</f>
        <v>1.8 Aktivierte Abschlusskosten</v>
      </c>
      <c r="D281" s="60" t="s">
        <v>712</v>
      </c>
      <c r="E281" s="60" t="s">
        <v>713</v>
      </c>
      <c r="F281" s="60" t="s">
        <v>714</v>
      </c>
    </row>
    <row r="283" spans="2:6">
      <c r="B283" s="60" t="s">
        <v>724</v>
      </c>
      <c r="C283" s="60" t="str">
        <f>IF(Sprache=Glossary!$D$9,D283,IF(Sprache=Glossary!$E$9,E283,IF(Sprache=Glossary!$F$9,Glossary!F283)))</f>
        <v>1.9 Immaterielle Vermögenswerte</v>
      </c>
      <c r="D283" s="60" t="s">
        <v>716</v>
      </c>
      <c r="E283" s="60" t="s">
        <v>717</v>
      </c>
      <c r="F283" s="60" t="s">
        <v>718</v>
      </c>
    </row>
    <row r="285" spans="2:6">
      <c r="B285" s="60" t="s">
        <v>728</v>
      </c>
      <c r="C285" s="60" t="str">
        <f>IF(Sprache=Glossary!$D$9,D285,IF(Sprache=Glossary!$E$9,E285,IF(Sprache=Glossary!$F$9,Glossary!F285)))</f>
        <v>1.10 Forderungen aus dem Versicherungsgeschäft</v>
      </c>
      <c r="D285" s="60" t="s">
        <v>720</v>
      </c>
      <c r="E285" s="60" t="s">
        <v>721</v>
      </c>
      <c r="F285" s="60" t="s">
        <v>722</v>
      </c>
    </row>
    <row r="286" spans="2:6">
      <c r="B286" s="60" t="s">
        <v>730</v>
      </c>
      <c r="C286" s="60" t="str">
        <f>IF(Sprache=Glossary!$D$9,D286,IF(Sprache=Glossary!$E$9,E286,IF(Sprache=Glossary!$F$9,Glossary!F286)))</f>
        <v>Forderungen gegenüber Versicherungsnehmerinnen und Versicherungsnehmern, Vermittlerinnen und Vermittlern</v>
      </c>
      <c r="D286" s="60" t="s">
        <v>1035</v>
      </c>
      <c r="E286" s="60" t="s">
        <v>1036</v>
      </c>
      <c r="F286" s="60" t="s">
        <v>1037</v>
      </c>
    </row>
    <row r="287" spans="2:6">
      <c r="B287" s="60" t="s">
        <v>732</v>
      </c>
      <c r="C287" s="60" t="str">
        <f>IF(Sprache=Glossary!$D$9,D287,IF(Sprache=Glossary!$E$9,E287,IF(Sprache=Glossary!$F$9,Glossary!F287)))</f>
        <v>Forderungen gegenüber Versicherungs- und Rückversicherungsgesellschaften</v>
      </c>
      <c r="D287" s="60" t="s">
        <v>725</v>
      </c>
      <c r="E287" s="60" t="s">
        <v>726</v>
      </c>
      <c r="F287" s="60" t="s">
        <v>727</v>
      </c>
    </row>
    <row r="288" spans="2:6">
      <c r="B288" s="60" t="s">
        <v>736</v>
      </c>
      <c r="C288" s="60" t="str">
        <f>IF(Sprache=Glossary!$D$9,D288,IF(Sprache=Glossary!$E$9,E288,IF(Sprache=Glossary!$F$9,Glossary!F288)))</f>
        <v>Forderungen gegenüber Versicherungsgesellschaften: abgegebene</v>
      </c>
      <c r="D288" s="60" t="s">
        <v>729</v>
      </c>
      <c r="E288" s="60" t="s">
        <v>1152</v>
      </c>
      <c r="F288" s="60" t="s">
        <v>1153</v>
      </c>
    </row>
    <row r="289" spans="2:6">
      <c r="B289" s="60" t="s">
        <v>737</v>
      </c>
      <c r="C289" s="60" t="str">
        <f>IF(Sprache=Glossary!$D$9,D289,IF(Sprache=Glossary!$E$9,E289,IF(Sprache=Glossary!$F$9,Glossary!F289)))</f>
        <v>Forderungen gegenüber Versicherungsgesellschaften: übernommene</v>
      </c>
      <c r="D289" s="60" t="s">
        <v>731</v>
      </c>
      <c r="E289" s="60" t="s">
        <v>1154</v>
      </c>
      <c r="F289" s="60" t="s">
        <v>1155</v>
      </c>
    </row>
    <row r="290" spans="2:6">
      <c r="B290" s="60" t="s">
        <v>738</v>
      </c>
      <c r="C290" s="60" t="str">
        <f>IF(Sprache=Glossary!$D$9,D290,IF(Sprache=Glossary!$E$9,E290,IF(Sprache=Glossary!$F$9,Glossary!F290)))</f>
        <v>Forderungen gegenüber Versicherungsgesellschaften: übrige</v>
      </c>
      <c r="D290" s="60" t="s">
        <v>733</v>
      </c>
      <c r="E290" s="60" t="s">
        <v>734</v>
      </c>
      <c r="F290" s="60" t="s">
        <v>735</v>
      </c>
    </row>
    <row r="291" spans="2:6">
      <c r="B291" s="60" t="s">
        <v>742</v>
      </c>
      <c r="C291" s="60" t="str">
        <f>IF(Sprache=Glossary!$D$9,D291,IF(Sprache=Glossary!$E$9,E291,IF(Sprache=Glossary!$F$9,Glossary!F291)))</f>
        <v>Sonstige Forderungen aus Versicherungs- und Rückversicherungstätigkeit</v>
      </c>
      <c r="D291" s="60" t="s">
        <v>1038</v>
      </c>
      <c r="E291" s="60" t="s">
        <v>1039</v>
      </c>
      <c r="F291" s="60" t="s">
        <v>1040</v>
      </c>
    </row>
    <row r="292" spans="2:6">
      <c r="B292" s="60" t="s">
        <v>746</v>
      </c>
      <c r="C292" s="60" t="str">
        <f>IF(Sprache=Glossary!$D$9,D292,IF(Sprache=Glossary!$E$9,E292,IF(Sprache=Glossary!$F$9,Glossary!F292)))</f>
        <v>Sonstige Depotforderungen</v>
      </c>
      <c r="D292" s="60" t="s">
        <v>1041</v>
      </c>
      <c r="E292" s="60" t="s">
        <v>1042</v>
      </c>
      <c r="F292" s="60" t="s">
        <v>1043</v>
      </c>
    </row>
    <row r="294" spans="2:6">
      <c r="B294" s="60" t="s">
        <v>750</v>
      </c>
      <c r="C294" s="60" t="str">
        <f>IF(Sprache=Glossary!$D$9,D294,IF(Sprache=Glossary!$E$9,E294,IF(Sprache=Glossary!$F$9,Glossary!F294)))</f>
        <v>1.11 Übrige Forderungen</v>
      </c>
      <c r="D294" s="60" t="s">
        <v>739</v>
      </c>
      <c r="E294" s="60" t="s">
        <v>740</v>
      </c>
      <c r="F294" s="60" t="s">
        <v>741</v>
      </c>
    </row>
    <row r="296" spans="2:6">
      <c r="B296" s="60" t="s">
        <v>752</v>
      </c>
      <c r="C296" s="60" t="str">
        <f>IF(Sprache=Glossary!$D$9,D296,IF(Sprache=Glossary!$E$9,E296,IF(Sprache=Glossary!$F$9,Glossary!F296)))</f>
        <v>1.12 Sonstige Aktiven</v>
      </c>
      <c r="D296" s="60" t="s">
        <v>743</v>
      </c>
      <c r="E296" s="60" t="s">
        <v>744</v>
      </c>
      <c r="F296" s="60" t="s">
        <v>745</v>
      </c>
    </row>
    <row r="297" spans="2:6">
      <c r="B297" s="60" t="s">
        <v>756</v>
      </c>
      <c r="C297" s="60" t="str">
        <f>IF(Sprache=Glossary!$D$9,D297,IF(Sprache=Glossary!$E$9,E297,IF(Sprache=Glossary!$F$9,Glossary!F297)))</f>
        <v>Erhaltene Garantien</v>
      </c>
      <c r="D297" s="60" t="s">
        <v>747</v>
      </c>
      <c r="E297" s="60" t="s">
        <v>748</v>
      </c>
      <c r="F297" s="60" t="s">
        <v>749</v>
      </c>
    </row>
    <row r="298" spans="2:6">
      <c r="B298" s="60" t="s">
        <v>760</v>
      </c>
      <c r="C298" s="60" t="str">
        <f>IF(Sprache=Glossary!$D$9,D298,IF(Sprache=Glossary!$E$9,E298,IF(Sprache=Glossary!$F$9,Glossary!F298)))</f>
        <v>Sonstige Vermögenswerte</v>
      </c>
      <c r="D298" s="60" t="s">
        <v>751</v>
      </c>
      <c r="E298" s="60" t="s">
        <v>574</v>
      </c>
      <c r="F298" s="60" t="s">
        <v>575</v>
      </c>
    </row>
    <row r="300" spans="2:6">
      <c r="B300" s="60" t="s">
        <v>764</v>
      </c>
      <c r="C300" s="60" t="str">
        <f>IF(Sprache=Glossary!$D$9,D300,IF(Sprache=Glossary!$E$9,E300,IF(Sprache=Glossary!$F$9,Glossary!F300)))</f>
        <v>1.13 Nicht einbezahltes Grundkapital</v>
      </c>
      <c r="D300" s="60" t="s">
        <v>753</v>
      </c>
      <c r="E300" s="60" t="s">
        <v>754</v>
      </c>
      <c r="F300" s="60" t="s">
        <v>755</v>
      </c>
    </row>
    <row r="302" spans="2:6">
      <c r="B302" s="60" t="s">
        <v>768</v>
      </c>
      <c r="C302" s="60" t="str">
        <f>IF(Sprache=Glossary!$D$9,D302,IF(Sprache=Glossary!$E$9,E302,IF(Sprache=Glossary!$F$9,Glossary!F302)))</f>
        <v>1.14 Aktive Rechnungsabgrenzungen</v>
      </c>
      <c r="D302" s="60" t="s">
        <v>757</v>
      </c>
      <c r="E302" s="60" t="s">
        <v>758</v>
      </c>
      <c r="F302" s="60" t="s">
        <v>759</v>
      </c>
    </row>
    <row r="303" spans="2:6">
      <c r="B303" s="60" t="s">
        <v>772</v>
      </c>
      <c r="C303" s="60" t="str">
        <f>IF(Sprache=Glossary!$D$9,D303,IF(Sprache=Glossary!$E$9,E303,IF(Sprache=Glossary!$F$9,Glossary!F303)))</f>
        <v>Vorausbezahlte Versicherungsleistungen</v>
      </c>
      <c r="D303" s="60" t="s">
        <v>761</v>
      </c>
      <c r="E303" s="60" t="s">
        <v>762</v>
      </c>
      <c r="F303" s="60" t="s">
        <v>763</v>
      </c>
    </row>
    <row r="304" spans="2:6">
      <c r="B304" s="60" t="s">
        <v>776</v>
      </c>
      <c r="C304" s="60" t="str">
        <f>IF(Sprache=Glossary!$D$9,D304,IF(Sprache=Glossary!$E$9,E304,IF(Sprache=Glossary!$F$9,Glossary!F304)))</f>
        <v>Abgegrenzte Zinsen und Mieten</v>
      </c>
      <c r="D304" s="60" t="s">
        <v>765</v>
      </c>
      <c r="E304" s="60" t="s">
        <v>766</v>
      </c>
      <c r="F304" s="60" t="s">
        <v>767</v>
      </c>
    </row>
    <row r="305" spans="2:6">
      <c r="B305" s="60" t="s">
        <v>780</v>
      </c>
      <c r="C305" s="60" t="str">
        <f>IF(Sprache=Glossary!$D$9,D305,IF(Sprache=Glossary!$E$9,E305,IF(Sprache=Glossary!$F$9,Glossary!F305)))</f>
        <v>Latente Steuerforderungen</v>
      </c>
      <c r="D305" s="60" t="s">
        <v>769</v>
      </c>
      <c r="E305" s="60" t="s">
        <v>770</v>
      </c>
      <c r="F305" s="60" t="s">
        <v>771</v>
      </c>
    </row>
    <row r="306" spans="2:6">
      <c r="B306" s="60" t="s">
        <v>784</v>
      </c>
      <c r="C306" s="60" t="str">
        <f>IF(Sprache=Glossary!$D$9,D306,IF(Sprache=Glossary!$E$9,E306,IF(Sprache=Glossary!$F$9,Glossary!F306)))</f>
        <v>Sonstige Rechnungsabgrenzungsposten</v>
      </c>
      <c r="D306" s="60" t="s">
        <v>773</v>
      </c>
      <c r="E306" s="60" t="s">
        <v>774</v>
      </c>
      <c r="F306" s="60" t="s">
        <v>775</v>
      </c>
    </row>
    <row r="308" spans="2:6">
      <c r="B308" s="60" t="s">
        <v>786</v>
      </c>
      <c r="C308" s="60" t="str">
        <f>IF(Sprache=Glossary!$D$9,D308,IF(Sprache=Glossary!$E$9,E308,IF(Sprache=Glossary!$F$9,Glossary!F308)))</f>
        <v>Total übrige Aktiven</v>
      </c>
      <c r="D308" s="60" t="s">
        <v>777</v>
      </c>
      <c r="E308" s="60" t="s">
        <v>778</v>
      </c>
      <c r="F308" s="60" t="s">
        <v>779</v>
      </c>
    </row>
    <row r="310" spans="2:6">
      <c r="B310" s="60" t="s">
        <v>787</v>
      </c>
      <c r="C310" s="60" t="str">
        <f>IF(Sprache=Glossary!$D$9,D310,IF(Sprache=Glossary!$E$9,E310,IF(Sprache=Glossary!$F$9,Glossary!F310)))</f>
        <v>1.15 Total Aktiven</v>
      </c>
      <c r="D310" s="60" t="s">
        <v>781</v>
      </c>
      <c r="E310" s="60" t="s">
        <v>782</v>
      </c>
      <c r="F310" s="60" t="s">
        <v>783</v>
      </c>
    </row>
    <row r="312" spans="2:6">
      <c r="B312" s="60" t="s">
        <v>788</v>
      </c>
      <c r="C312" s="60" t="str">
        <f>IF(Sprache=Glossary!$D$9,D312,IF(Sprache=Glossary!$E$9,E312,IF(Sprache=Glossary!$F$9,Glossary!F312)))</f>
        <v>Verbindlichkeiten</v>
      </c>
      <c r="D312" s="60" t="s">
        <v>140</v>
      </c>
      <c r="E312" s="60" t="s">
        <v>214</v>
      </c>
      <c r="F312" s="60" t="s">
        <v>785</v>
      </c>
    </row>
    <row r="314" spans="2:6">
      <c r="B314" s="60" t="s">
        <v>792</v>
      </c>
      <c r="C314" s="60" t="str">
        <f>IF(Sprache=Glossary!$D$9,D314,IF(Sprache=Glossary!$E$9,E314,IF(Sprache=Glossary!$F$9,Glossary!F314)))</f>
        <v>2.1 Bestmöglicher Schätzwert der Versicherungsverpflichtungen</v>
      </c>
      <c r="D314" s="60" t="s">
        <v>1044</v>
      </c>
      <c r="E314" s="60" t="s">
        <v>1045</v>
      </c>
      <c r="F314" s="60" t="s">
        <v>1046</v>
      </c>
    </row>
    <row r="315" spans="2:6">
      <c r="B315" s="60" t="s">
        <v>793</v>
      </c>
      <c r="C315" s="60" t="str">
        <f>IF(Sprache=Glossary!$D$9,D315,IF(Sprache=Glossary!$E$9,E315,IF(Sprache=Glossary!$F$9,Glossary!F315)))</f>
        <v>Direktversicherung: Lebensversicherungsgeschäft (ohne ALV)</v>
      </c>
      <c r="D315" s="60" t="s">
        <v>664</v>
      </c>
      <c r="E315" s="60" t="s">
        <v>1147</v>
      </c>
      <c r="F315" s="60" t="s">
        <v>665</v>
      </c>
    </row>
    <row r="316" spans="2:6">
      <c r="B316" s="60" t="s">
        <v>794</v>
      </c>
      <c r="C316" s="60" t="str">
        <f>IF(Sprache=Glossary!$D$9,D316,IF(Sprache=Glossary!$E$9,E316,IF(Sprache=Glossary!$F$9,Glossary!F316)))</f>
        <v>Best Estimate der Versicherungsverpflichtungen (Leben): Brutto</v>
      </c>
      <c r="D316" s="60" t="s">
        <v>789</v>
      </c>
      <c r="E316" s="60" t="s">
        <v>790</v>
      </c>
      <c r="F316" s="60" t="s">
        <v>791</v>
      </c>
    </row>
    <row r="317" spans="2:6">
      <c r="B317" s="60" t="s">
        <v>796</v>
      </c>
      <c r="C317" s="60" t="str">
        <f>IF(Sprache=Glossary!$D$9,D317,IF(Sprache=Glossary!$E$9,E317,IF(Sprache=Glossary!$F$9,Glossary!F317)))</f>
        <v>Einzelgeschäft</v>
      </c>
      <c r="D317" s="60" t="s">
        <v>1047</v>
      </c>
      <c r="E317" s="60" t="s">
        <v>1048</v>
      </c>
      <c r="F317" s="60" t="s">
        <v>1049</v>
      </c>
    </row>
    <row r="318" spans="2:6">
      <c r="B318" s="60" t="s">
        <v>800</v>
      </c>
      <c r="C318" s="60" t="str">
        <f>IF(Sprache=Glossary!$D$9,D318,IF(Sprache=Glossary!$E$9,E318,IF(Sprache=Glossary!$F$9,Glossary!F318)))</f>
        <v>Kollektivgeschäft</v>
      </c>
      <c r="D318" s="60" t="s">
        <v>1050</v>
      </c>
      <c r="E318" s="60" t="s">
        <v>1051</v>
      </c>
      <c r="F318" s="60" t="s">
        <v>1052</v>
      </c>
    </row>
    <row r="319" spans="2:6">
      <c r="B319" s="60" t="s">
        <v>804</v>
      </c>
      <c r="C319" s="60" t="str">
        <f>IF(Sprache=Glossary!$D$9,D319,IF(Sprache=Glossary!$E$9,E319,IF(Sprache=Glossary!$F$9,Glossary!F319)))</f>
        <v>Schwankungsrückstellungen und weitere statutarische Rückstellungen (Leben): Brutto</v>
      </c>
      <c r="D319" s="60" t="s">
        <v>1053</v>
      </c>
      <c r="E319" s="60" t="s">
        <v>1054</v>
      </c>
      <c r="F319" s="60" t="s">
        <v>795</v>
      </c>
    </row>
    <row r="320" spans="2:6">
      <c r="B320" s="60" t="s">
        <v>808</v>
      </c>
      <c r="C320" s="60" t="str">
        <f>IF(Sprache=Glossary!$D$9,D320,IF(Sprache=Glossary!$E$9,E320,IF(Sprache=Glossary!$F$9,Glossary!F320)))</f>
        <v>Best Estimate der sonstigen Versicherungsverpflichtungen (Leben): Brutto</v>
      </c>
      <c r="D320" s="60" t="s">
        <v>797</v>
      </c>
      <c r="E320" s="60" t="s">
        <v>798</v>
      </c>
      <c r="F320" s="60" t="s">
        <v>799</v>
      </c>
    </row>
    <row r="321" spans="2:6">
      <c r="B321" s="60" t="s">
        <v>812</v>
      </c>
      <c r="C321" s="60" t="str">
        <f>IF(Sprache=Glossary!$D$9,D321,IF(Sprache=Glossary!$E$9,E321,IF(Sprache=Glossary!$F$9,Glossary!F321)))</f>
        <v>davon Zillmerabschlag (Leben): Brutto</v>
      </c>
      <c r="D321" s="60" t="s">
        <v>801</v>
      </c>
      <c r="E321" s="60" t="s">
        <v>802</v>
      </c>
      <c r="F321" s="60" t="s">
        <v>803</v>
      </c>
    </row>
    <row r="322" spans="2:6">
      <c r="B322" s="60" t="s">
        <v>813</v>
      </c>
      <c r="C322" s="60" t="str">
        <f>IF(Sprache=Glossary!$D$9,D322,IF(Sprache=Glossary!$E$9,E322,IF(Sprache=Glossary!$F$9,Glossary!F322)))</f>
        <v>Rückstellungen für vertragliche Überschussbeteiligungen (Leben): Brutto</v>
      </c>
      <c r="D322" s="60" t="s">
        <v>805</v>
      </c>
      <c r="E322" s="60" t="s">
        <v>806</v>
      </c>
      <c r="F322" s="60" t="s">
        <v>807</v>
      </c>
    </row>
    <row r="323" spans="2:6">
      <c r="B323" s="60" t="s">
        <v>814</v>
      </c>
      <c r="C323" s="60" t="str">
        <f>IF(Sprache=Glossary!$D$9,D323,IF(Sprache=Glossary!$E$9,E323,IF(Sprache=Glossary!$F$9,Glossary!F323)))</f>
        <v>Rückstellungen für Überschussfonds (Leben): Brutto</v>
      </c>
      <c r="D323" s="60" t="s">
        <v>809</v>
      </c>
      <c r="E323" s="60" t="s">
        <v>810</v>
      </c>
      <c r="F323" s="60" t="s">
        <v>811</v>
      </c>
    </row>
    <row r="324" spans="2:6">
      <c r="B324" s="60" t="s">
        <v>815</v>
      </c>
      <c r="C324" s="60" t="str">
        <f>IF(Sprache=Glossary!$D$9,D324,IF(Sprache=Glossary!$E$9,E324,IF(Sprache=Glossary!$F$9,Glossary!F324)))</f>
        <v>Aktive Rückversicherung: Lebensversicherungsgeschäft (ohne ALV)</v>
      </c>
      <c r="D324" s="60" t="s">
        <v>671</v>
      </c>
      <c r="E324" s="60" t="s">
        <v>1148</v>
      </c>
      <c r="F324" s="60" t="s">
        <v>1163</v>
      </c>
    </row>
    <row r="326" spans="2:6">
      <c r="B326" s="60" t="s">
        <v>819</v>
      </c>
      <c r="C326" s="60" t="str">
        <f>IF(Sprache=Glossary!$D$9,D326,IF(Sprache=Glossary!$E$9,E326,IF(Sprache=Glossary!$F$9,Glossary!F326)))</f>
        <v>Direktversicherung: Schadenversicherungsgeschäft</v>
      </c>
      <c r="D326" s="60" t="s">
        <v>673</v>
      </c>
      <c r="E326" s="60" t="s">
        <v>674</v>
      </c>
      <c r="F326" s="60" t="s">
        <v>675</v>
      </c>
    </row>
    <row r="327" spans="2:6">
      <c r="B327" s="60" t="s">
        <v>821</v>
      </c>
      <c r="C327" s="60" t="str">
        <f>IF(Sprache=Glossary!$D$9,D327,IF(Sprache=Glossary!$E$9,E327,IF(Sprache=Glossary!$F$9,Glossary!F327)))</f>
        <v>Best Estimate der Versicherungsverpflichtungen (Schaden): Brutto - verdientes Geschäft</v>
      </c>
      <c r="D327" s="60" t="s">
        <v>1055</v>
      </c>
      <c r="E327" s="60" t="s">
        <v>1056</v>
      </c>
      <c r="F327" s="60" t="s">
        <v>1057</v>
      </c>
    </row>
    <row r="328" spans="2:6">
      <c r="B328" s="60" t="s">
        <v>824</v>
      </c>
      <c r="C328" s="60" t="str">
        <f>IF(Sprache=Glossary!$D$9,D328,IF(Sprache=Glossary!$E$9,E328,IF(Sprache=Glossary!$F$9,Glossary!F328)))</f>
        <v>davon Best Estimate der Verpflichtungen des UVG-Bestandes: Brutto</v>
      </c>
      <c r="D328" s="60" t="s">
        <v>816</v>
      </c>
      <c r="E328" s="60" t="s">
        <v>817</v>
      </c>
      <c r="F328" s="60" t="s">
        <v>818</v>
      </c>
    </row>
    <row r="329" spans="2:6">
      <c r="B329" s="60" t="s">
        <v>827</v>
      </c>
      <c r="C329" s="60" t="str">
        <f>IF(Sprache=Glossary!$D$9,D329,IF(Sprache=Glossary!$E$9,E329,IF(Sprache=Glossary!$F$9,Glossary!F329)))</f>
        <v>Best Estimate der Versicherungsverpflichtungen (Schaden): Brutto - unverdientes Geschäft</v>
      </c>
      <c r="D329" s="60" t="s">
        <v>1058</v>
      </c>
      <c r="E329" s="60" t="s">
        <v>1059</v>
      </c>
      <c r="F329" s="60" t="s">
        <v>1060</v>
      </c>
    </row>
    <row r="330" spans="2:6">
      <c r="B330" s="60" t="s">
        <v>830</v>
      </c>
      <c r="C330" s="60" t="str">
        <f>IF(Sprache=Glossary!$D$9,D330,IF(Sprache=Glossary!$E$9,E330,IF(Sprache=Glossary!$F$9,Glossary!F330)))</f>
        <v>Schwankungsrückstellungen und weitere statutarische Rückstellungen (Schaden): Brutto</v>
      </c>
      <c r="D330" s="60" t="s">
        <v>1061</v>
      </c>
      <c r="E330" s="60" t="s">
        <v>1062</v>
      </c>
      <c r="F330" s="60" t="s">
        <v>820</v>
      </c>
    </row>
    <row r="331" spans="2:6">
      <c r="B331" s="60" t="s">
        <v>831</v>
      </c>
      <c r="C331" s="60" t="str">
        <f>IF(Sprache=Glossary!$D$9,D331,IF(Sprache=Glossary!$E$9,E331,IF(Sprache=Glossary!$F$9,Glossary!F331)))</f>
        <v>Best Estimate der sonstigen Versicherungsverpflichtungen (Schaden): Brutto</v>
      </c>
      <c r="D331" s="60" t="s">
        <v>822</v>
      </c>
      <c r="E331" s="60" t="s">
        <v>1160</v>
      </c>
      <c r="F331" s="60" t="s">
        <v>823</v>
      </c>
    </row>
    <row r="332" spans="2:6">
      <c r="B332" s="60" t="s">
        <v>832</v>
      </c>
      <c r="C332" s="60" t="str">
        <f>IF(Sprache=Glossary!$D$9,D332,IF(Sprache=Glossary!$E$9,E332,IF(Sprache=Glossary!$F$9,Glossary!F332)))</f>
        <v>Rückstellungen für vertragliche Überschussbeteiligungen (Schaden): Brutto</v>
      </c>
      <c r="D332" s="60" t="s">
        <v>825</v>
      </c>
      <c r="E332" s="60" t="s">
        <v>1156</v>
      </c>
      <c r="F332" s="60" t="s">
        <v>826</v>
      </c>
    </row>
    <row r="333" spans="2:6">
      <c r="B333" s="60" t="s">
        <v>833</v>
      </c>
      <c r="C333" s="60" t="str">
        <f>IF(Sprache=Glossary!$D$9,D333,IF(Sprache=Glossary!$E$9,E333,IF(Sprache=Glossary!$F$9,Glossary!F333)))</f>
        <v>Rückstellungen für Überschussfonds (Schaden): Brutto</v>
      </c>
      <c r="D333" s="60" t="s">
        <v>828</v>
      </c>
      <c r="E333" s="60" t="s">
        <v>1157</v>
      </c>
      <c r="F333" s="60" t="s">
        <v>829</v>
      </c>
    </row>
    <row r="334" spans="2:6">
      <c r="B334" s="60" t="s">
        <v>834</v>
      </c>
      <c r="C334" s="60" t="str">
        <f>IF(Sprache=Glossary!$D$9,D334,IF(Sprache=Glossary!$E$9,E334,IF(Sprache=Glossary!$F$9,Glossary!F334)))</f>
        <v>Aktive Rückversicherung: Schadenversicherungsgeschäft</v>
      </c>
      <c r="D334" s="60" t="s">
        <v>686</v>
      </c>
      <c r="E334" s="60" t="s">
        <v>687</v>
      </c>
      <c r="F334" s="60" t="s">
        <v>1149</v>
      </c>
    </row>
    <row r="335" spans="2:6">
      <c r="B335" s="60" t="s">
        <v>835</v>
      </c>
      <c r="C335" s="60" t="str">
        <f>IF(Sprache=Glossary!$D$9,D335,IF(Sprache=Glossary!$E$9,E335,IF(Sprache=Glossary!$F$9,Glossary!F335)))</f>
        <v>Aktive Rückversicherung: Best Estimate der Versicherungsverpflichtungen (Schaden) - verdientes Geschäft</v>
      </c>
      <c r="D335" s="60" t="s">
        <v>1063</v>
      </c>
      <c r="E335" s="60" t="s">
        <v>1064</v>
      </c>
      <c r="F335" s="60" t="s">
        <v>1065</v>
      </c>
    </row>
    <row r="336" spans="2:6">
      <c r="B336" s="60" t="s">
        <v>836</v>
      </c>
      <c r="C336" s="60" t="str">
        <f>IF(Sprache=Glossary!$D$9,D336,IF(Sprache=Glossary!$E$9,E336,IF(Sprache=Glossary!$F$9,Glossary!F336)))</f>
        <v>Aktive Rückversicherung: Best Estimate der Versicherungsverpflichtungen (Schaden) - unverdientes Geschäft</v>
      </c>
      <c r="D336" s="60" t="s">
        <v>1066</v>
      </c>
      <c r="E336" s="60" t="s">
        <v>1067</v>
      </c>
      <c r="F336" s="60" t="s">
        <v>1068</v>
      </c>
    </row>
    <row r="337" spans="2:6">
      <c r="B337" s="60" t="s">
        <v>838</v>
      </c>
      <c r="C337" s="60" t="str">
        <f>IF(Sprache=Glossary!$D$9,D337,IF(Sprache=Glossary!$E$9,E337,IF(Sprache=Glossary!$F$9,Glossary!F337)))</f>
        <v>Aktive Rückversicherung: Best Estimate der sonstigen Versicherungsverpflichtungen (Schaden)</v>
      </c>
      <c r="D337" s="60" t="s">
        <v>1069</v>
      </c>
      <c r="E337" s="60" t="s">
        <v>1070</v>
      </c>
      <c r="F337" s="60" t="s">
        <v>1071</v>
      </c>
    </row>
    <row r="339" spans="2:6">
      <c r="B339" s="60" t="s">
        <v>842</v>
      </c>
      <c r="C339" s="60" t="str">
        <f>IF(Sprache=Glossary!$D$9,D339,IF(Sprache=Glossary!$E$9,E339,IF(Sprache=Glossary!$F$9,Glossary!F339)))</f>
        <v>Direktversicherung: Krankenversicherungsgeschäft</v>
      </c>
      <c r="D339" s="60" t="s">
        <v>678</v>
      </c>
      <c r="E339" s="60" t="s">
        <v>679</v>
      </c>
      <c r="F339" s="60" t="s">
        <v>680</v>
      </c>
    </row>
    <row r="340" spans="2:6">
      <c r="B340" s="60" t="s">
        <v>846</v>
      </c>
      <c r="C340" s="60" t="str">
        <f>IF(Sprache=Glossary!$D$9,D340,IF(Sprache=Glossary!$E$9,E340,IF(Sprache=Glossary!$F$9,Glossary!F340)))</f>
        <v>Best Estimate der Versicherungsverpflichtungen (Kranken): Brutto - verdientes Geschäft</v>
      </c>
      <c r="D340" s="60" t="s">
        <v>1072</v>
      </c>
      <c r="E340" s="60" t="s">
        <v>1073</v>
      </c>
      <c r="F340" s="60" t="s">
        <v>1074</v>
      </c>
    </row>
    <row r="341" spans="2:6">
      <c r="B341" s="60" t="s">
        <v>850</v>
      </c>
      <c r="C341" s="60" t="str">
        <f>IF(Sprache=Glossary!$D$9,D341,IF(Sprache=Glossary!$E$9,E341,IF(Sprache=Glossary!$F$9,Glossary!F341)))</f>
        <v>Best Estimate der Versicherungsverpflichtungen Einzelkranken (ADISD02100 - ADISD02400): Brutto</v>
      </c>
      <c r="D341" s="60" t="s">
        <v>1075</v>
      </c>
      <c r="E341" s="60" t="s">
        <v>1076</v>
      </c>
      <c r="F341" s="60" t="s">
        <v>1077</v>
      </c>
    </row>
    <row r="342" spans="2:6">
      <c r="B342" s="60" t="s">
        <v>851</v>
      </c>
      <c r="C342" s="60" t="str">
        <f>IF(Sprache=Glossary!$D$9,D342,IF(Sprache=Glossary!$E$9,E342,IF(Sprache=Glossary!$F$9,Glossary!F342)))</f>
        <v>Best Estimate der Versicherungsverpflichtungen Kollektivtaggeld (ADISD02500): Brutto</v>
      </c>
      <c r="D342" s="60" t="s">
        <v>1078</v>
      </c>
      <c r="E342" s="60" t="s">
        <v>1079</v>
      </c>
      <c r="F342" s="60" t="s">
        <v>1080</v>
      </c>
    </row>
    <row r="343" spans="2:6">
      <c r="B343" s="60" t="s">
        <v>852</v>
      </c>
      <c r="C343" s="60" t="str">
        <f>IF(Sprache=Glossary!$D$9,D343,IF(Sprache=Glossary!$E$9,E343,IF(Sprache=Glossary!$F$9,Glossary!F343)))</f>
        <v>Best Estimate der Langzeitverpflichtungen (Kranken) (ADISD02100 - ADISD02400): Brutto</v>
      </c>
      <c r="D343" s="60" t="s">
        <v>1081</v>
      </c>
      <c r="E343" s="60" t="s">
        <v>1082</v>
      </c>
      <c r="F343" s="60" t="s">
        <v>1083</v>
      </c>
    </row>
    <row r="344" spans="2:6">
      <c r="B344" s="60" t="s">
        <v>853</v>
      </c>
      <c r="C344" s="60" t="str">
        <f>IF(Sprache=Glossary!$D$9,D344,IF(Sprache=Glossary!$E$9,E344,IF(Sprache=Glossary!$F$9,Glossary!F344)))</f>
        <v>Best Estimate des unverdienten Geschäfts Kollektivtaggeld (ADISD02500): Brutto</v>
      </c>
      <c r="D344" s="60" t="s">
        <v>1084</v>
      </c>
      <c r="E344" s="60" t="s">
        <v>1085</v>
      </c>
      <c r="F344" s="60" t="s">
        <v>1086</v>
      </c>
    </row>
    <row r="345" spans="2:6">
      <c r="B345" s="60" t="s">
        <v>854</v>
      </c>
      <c r="C345" s="60" t="str">
        <f>IF(Sprache=Glossary!$D$9,D345,IF(Sprache=Glossary!$E$9,E345,IF(Sprache=Glossary!$F$9,Glossary!F345)))</f>
        <v>Schwankungsrückstellungen und weitere statutarische Rückstellungen (Kranken): Brutto</v>
      </c>
      <c r="D345" s="60" t="s">
        <v>1087</v>
      </c>
      <c r="E345" s="60" t="s">
        <v>1088</v>
      </c>
      <c r="F345" s="60" t="s">
        <v>837</v>
      </c>
    </row>
    <row r="346" spans="2:6">
      <c r="B346" s="60" t="s">
        <v>858</v>
      </c>
      <c r="C346" s="60" t="str">
        <f>IF(Sprache=Glossary!$D$9,D346,IF(Sprache=Glossary!$E$9,E346,IF(Sprache=Glossary!$F$9,Glossary!F346)))</f>
        <v>Best Estimate der sonstigen Versicherungsverpflichtungen (Kranken): Brutto</v>
      </c>
      <c r="D346" s="60" t="s">
        <v>839</v>
      </c>
      <c r="E346" s="60" t="s">
        <v>840</v>
      </c>
      <c r="F346" s="60" t="s">
        <v>841</v>
      </c>
    </row>
    <row r="347" spans="2:6">
      <c r="B347" s="60" t="s">
        <v>862</v>
      </c>
      <c r="C347" s="60" t="str">
        <f>IF(Sprache=Glossary!$D$9,D347,IF(Sprache=Glossary!$E$9,E347,IF(Sprache=Glossary!$F$9,Glossary!F347)))</f>
        <v>Rückstellungen für vertragliche Überschussbeteiligungen (Kranken): Brutto</v>
      </c>
      <c r="D347" s="60" t="s">
        <v>843</v>
      </c>
      <c r="E347" s="60" t="s">
        <v>844</v>
      </c>
      <c r="F347" s="60" t="s">
        <v>845</v>
      </c>
    </row>
    <row r="348" spans="2:6">
      <c r="B348" s="60" t="s">
        <v>866</v>
      </c>
      <c r="C348" s="60" t="str">
        <f>IF(Sprache=Glossary!$D$9,D348,IF(Sprache=Glossary!$E$9,E348,IF(Sprache=Glossary!$F$9,Glossary!F348)))</f>
        <v>Rückstellungen für Überschussfonds (Kranken): Brutto</v>
      </c>
      <c r="D348" s="60" t="s">
        <v>847</v>
      </c>
      <c r="E348" s="60" t="s">
        <v>848</v>
      </c>
      <c r="F348" s="60" t="s">
        <v>849</v>
      </c>
    </row>
    <row r="349" spans="2:6">
      <c r="B349" s="60" t="s">
        <v>867</v>
      </c>
      <c r="C349" s="60" t="str">
        <f>IF(Sprache=Glossary!$D$9,D349,IF(Sprache=Glossary!$E$9,E349,IF(Sprache=Glossary!$F$9,Glossary!F349)))</f>
        <v>Aktive Rückversicherung: Krankenversicherungsgeschäft</v>
      </c>
      <c r="D349" s="60" t="s">
        <v>689</v>
      </c>
      <c r="E349" s="60" t="s">
        <v>1158</v>
      </c>
      <c r="F349" s="60" t="s">
        <v>691</v>
      </c>
    </row>
    <row r="351" spans="2:6">
      <c r="B351" s="60" t="s">
        <v>871</v>
      </c>
      <c r="C351" s="60" t="str">
        <f>IF(Sprache=Glossary!$D$9,D351,IF(Sprache=Glossary!$E$9,E351,IF(Sprache=Glossary!$F$9,Glossary!F351)))</f>
        <v>2.2 Bestmöglicher Schätzwert der Versicherungsverpflichtungen für anteilgebundene Lebensversicherung</v>
      </c>
      <c r="D351" s="60" t="s">
        <v>1089</v>
      </c>
      <c r="E351" s="60" t="s">
        <v>1090</v>
      </c>
      <c r="F351" s="60" t="s">
        <v>1091</v>
      </c>
    </row>
    <row r="352" spans="2:6">
      <c r="B352" s="60" t="s">
        <v>872</v>
      </c>
      <c r="C352" s="60" t="str">
        <f>IF(Sprache=Glossary!$D$9,D352,IF(Sprache=Glossary!$E$9,E352,IF(Sprache=Glossary!$F$9,Glossary!F352)))</f>
        <v>Fondsanteilgebundene Lebensversicherung (A 2.1 - A 2.3 &amp; A 6.1)</v>
      </c>
      <c r="D352" s="60" t="s">
        <v>855</v>
      </c>
      <c r="E352" s="60" t="s">
        <v>856</v>
      </c>
      <c r="F352" s="60" t="s">
        <v>857</v>
      </c>
    </row>
    <row r="353" spans="2:6">
      <c r="B353" s="60" t="s">
        <v>876</v>
      </c>
      <c r="C353" s="60" t="str">
        <f>IF(Sprache=Glossary!$D$9,D353,IF(Sprache=Glossary!$E$9,E353,IF(Sprache=Glossary!$F$9,Glossary!F353)))</f>
        <v>davon Optionen und Garantien</v>
      </c>
      <c r="D353" s="60" t="s">
        <v>859</v>
      </c>
      <c r="E353" s="60" t="s">
        <v>860</v>
      </c>
      <c r="F353" s="60" t="s">
        <v>861</v>
      </c>
    </row>
    <row r="354" spans="2:6">
      <c r="B354" s="60" t="s">
        <v>880</v>
      </c>
      <c r="C354" s="60" t="str">
        <f>IF(Sprache=Glossary!$D$9,D354,IF(Sprache=Glossary!$E$9,E354,IF(Sprache=Glossary!$F$9,Glossary!F354)))</f>
        <v>An interne Anlagebestände oder andere Bezugswerte gebundene Lebensversicherung: Brutto (A 2.4 - A 2.6 &amp; A 6.2)</v>
      </c>
      <c r="D354" s="60" t="s">
        <v>863</v>
      </c>
      <c r="E354" s="60" t="s">
        <v>864</v>
      </c>
      <c r="F354" s="60" t="s">
        <v>865</v>
      </c>
    </row>
    <row r="355" spans="2:6">
      <c r="B355" s="60" t="s">
        <v>884</v>
      </c>
      <c r="C355" s="60" t="str">
        <f>IF(Sprache=Glossary!$D$9,D355,IF(Sprache=Glossary!$E$9,E355,IF(Sprache=Glossary!$F$9,Glossary!F355)))</f>
        <v>davon Optionen und Garantien</v>
      </c>
      <c r="D355" s="60" t="s">
        <v>859</v>
      </c>
      <c r="E355" s="60" t="s">
        <v>860</v>
      </c>
      <c r="F355" s="60" t="s">
        <v>861</v>
      </c>
    </row>
    <row r="356" spans="2:6">
      <c r="B356" s="60" t="s">
        <v>888</v>
      </c>
      <c r="C356" s="60" t="str">
        <f>IF(Sprache=Glossary!$D$9,D356,IF(Sprache=Glossary!$E$9,E356,IF(Sprache=Glossary!$F$9,Glossary!F356)))</f>
        <v>Schwankungsrückstellungen für anteilgebundene Lebensversicherungen direktes Geschäft: Brutto</v>
      </c>
      <c r="D356" s="60" t="s">
        <v>868</v>
      </c>
      <c r="E356" s="60" t="s">
        <v>869</v>
      </c>
      <c r="F356" s="60" t="s">
        <v>870</v>
      </c>
    </row>
    <row r="357" spans="2:6">
      <c r="B357" s="60" t="s">
        <v>892</v>
      </c>
      <c r="C357" s="60" t="str">
        <f>IF(Sprache=Glossary!$D$9,D357,IF(Sprache=Glossary!$E$9,E357,IF(Sprache=Glossary!$F$9,Glossary!F357)))</f>
        <v>Aktive Rückversicherung: Anteilgebundenes Lebensversicherungsgeschäft</v>
      </c>
      <c r="D357" s="60" t="s">
        <v>698</v>
      </c>
      <c r="E357" s="60" t="s">
        <v>1159</v>
      </c>
      <c r="F357" s="60" t="s">
        <v>1162</v>
      </c>
    </row>
    <row r="359" spans="2:6">
      <c r="B359" s="60" t="s">
        <v>896</v>
      </c>
      <c r="C359" s="60" t="str">
        <f>IF(Sprache=Glossary!$D$9,D359,IF(Sprache=Glossary!$E$9,E359,IF(Sprache=Glossary!$F$9,Glossary!F359)))</f>
        <v>Mindestbetrag</v>
      </c>
      <c r="D359" s="60" t="s">
        <v>873</v>
      </c>
      <c r="E359" s="60" t="s">
        <v>874</v>
      </c>
      <c r="F359" s="60" t="s">
        <v>875</v>
      </c>
    </row>
    <row r="361" spans="2:6">
      <c r="B361" s="60" t="s">
        <v>900</v>
      </c>
      <c r="C361" s="60" t="str">
        <f>IF(Sprache=Glossary!$D$9,D361,IF(Sprache=Glossary!$E$9,E361,IF(Sprache=Glossary!$F$9,Glossary!F361)))</f>
        <v>2.3 Nichtversicherungstechnische Rückstellungen</v>
      </c>
      <c r="D361" s="60" t="s">
        <v>877</v>
      </c>
      <c r="E361" s="60" t="s">
        <v>878</v>
      </c>
      <c r="F361" s="60" t="s">
        <v>879</v>
      </c>
    </row>
    <row r="362" spans="2:6">
      <c r="B362" s="60" t="s">
        <v>901</v>
      </c>
      <c r="C362" s="60" t="str">
        <f>IF(Sprache=Glossary!$D$9,D362,IF(Sprache=Glossary!$E$9,E362,IF(Sprache=Glossary!$F$9,Glossary!F362)))</f>
        <v>Rückstellungen für Personalvorsorge</v>
      </c>
      <c r="D362" s="60" t="s">
        <v>881</v>
      </c>
      <c r="E362" s="60" t="s">
        <v>882</v>
      </c>
      <c r="F362" s="60" t="s">
        <v>883</v>
      </c>
    </row>
    <row r="363" spans="2:6">
      <c r="B363" s="60" t="s">
        <v>902</v>
      </c>
      <c r="C363" s="60" t="str">
        <f>IF(Sprache=Glossary!$D$9,D363,IF(Sprache=Glossary!$E$9,E363,IF(Sprache=Glossary!$F$9,Glossary!F363)))</f>
        <v xml:space="preserve">Finanzielle Rückstellungen </v>
      </c>
      <c r="D363" s="60" t="s">
        <v>885</v>
      </c>
      <c r="E363" s="60" t="s">
        <v>886</v>
      </c>
      <c r="F363" s="60" t="s">
        <v>887</v>
      </c>
    </row>
    <row r="364" spans="2:6">
      <c r="B364" s="60" t="s">
        <v>903</v>
      </c>
      <c r="C364" s="60" t="str">
        <f>IF(Sprache=Glossary!$D$9,D364,IF(Sprache=Glossary!$E$9,E364,IF(Sprache=Glossary!$F$9,Glossary!F364)))</f>
        <v xml:space="preserve">Sonstige Rückstellungen </v>
      </c>
      <c r="D364" s="60" t="s">
        <v>889</v>
      </c>
      <c r="E364" s="60" t="s">
        <v>890</v>
      </c>
      <c r="F364" s="60" t="s">
        <v>891</v>
      </c>
    </row>
    <row r="366" spans="2:6">
      <c r="B366" s="60" t="s">
        <v>904</v>
      </c>
      <c r="C366" s="60" t="str">
        <f>IF(Sprache=Glossary!$D$9,D366,IF(Sprache=Glossary!$E$9,E366,IF(Sprache=Glossary!$F$9,Glossary!F366)))</f>
        <v>2.4 Verzinsliche Verbindlichkeiten</v>
      </c>
      <c r="D366" s="60" t="s">
        <v>893</v>
      </c>
      <c r="E366" s="60" t="s">
        <v>894</v>
      </c>
      <c r="F366" s="60" t="s">
        <v>895</v>
      </c>
    </row>
    <row r="368" spans="2:6">
      <c r="B368" s="60" t="s">
        <v>907</v>
      </c>
      <c r="C368" s="60" t="str">
        <f>IF(Sprache=Glossary!$D$9,D368,IF(Sprache=Glossary!$E$9,E368,IF(Sprache=Glossary!$F$9,Glossary!F368)))</f>
        <v>2.5. Verbindlichkeiten aus derivativen Finanzinstrumenten</v>
      </c>
      <c r="D368" s="60" t="s">
        <v>897</v>
      </c>
      <c r="E368" s="60" t="s">
        <v>898</v>
      </c>
      <c r="F368" s="60" t="s">
        <v>899</v>
      </c>
    </row>
    <row r="369" spans="2:6">
      <c r="B369" s="60" t="s">
        <v>908</v>
      </c>
      <c r="C369" s="60" t="str">
        <f>IF(Sprache=Glossary!$D$9,D369,IF(Sprache=Glossary!$E$9,E369,IF(Sprache=Glossary!$F$9,Glossary!F369)))</f>
        <v>Zinsrisikobezogene Instrumente</v>
      </c>
      <c r="D369" s="60" t="s">
        <v>616</v>
      </c>
      <c r="E369" s="60" t="s">
        <v>617</v>
      </c>
      <c r="F369" s="60" t="s">
        <v>618</v>
      </c>
    </row>
    <row r="370" spans="2:6">
      <c r="B370" s="60" t="s">
        <v>912</v>
      </c>
      <c r="C370" s="60" t="str">
        <f>IF(Sprache=Glossary!$D$9,D370,IF(Sprache=Glossary!$E$9,E370,IF(Sprache=Glossary!$F$9,Glossary!F370)))</f>
        <v>Währungsrisikobezogene Instrumente</v>
      </c>
      <c r="D370" s="60" t="s">
        <v>620</v>
      </c>
      <c r="E370" s="60" t="s">
        <v>621</v>
      </c>
      <c r="F370" s="60" t="s">
        <v>622</v>
      </c>
    </row>
    <row r="371" spans="2:6">
      <c r="B371" s="60" t="s">
        <v>916</v>
      </c>
      <c r="C371" s="60" t="str">
        <f>IF(Sprache=Glossary!$D$9,D371,IF(Sprache=Glossary!$E$9,E371,IF(Sprache=Glossary!$F$9,Glossary!F371)))</f>
        <v>(Aktien-)Marktrisikobezogene Instrumente</v>
      </c>
      <c r="D371" s="60" t="s">
        <v>624</v>
      </c>
      <c r="E371" s="60" t="s">
        <v>625</v>
      </c>
      <c r="F371" s="60" t="s">
        <v>626</v>
      </c>
    </row>
    <row r="372" spans="2:6">
      <c r="B372" s="60" t="s">
        <v>920</v>
      </c>
      <c r="C372" s="60" t="str">
        <f>IF(Sprache=Glossary!$D$9,D372,IF(Sprache=Glossary!$E$9,E372,IF(Sprache=Glossary!$F$9,Glossary!F372)))</f>
        <v>Kreditrisikobezogene Instrumente</v>
      </c>
      <c r="D372" s="60" t="s">
        <v>628</v>
      </c>
      <c r="E372" s="60" t="s">
        <v>629</v>
      </c>
      <c r="F372" s="60" t="s">
        <v>630</v>
      </c>
    </row>
    <row r="373" spans="2:6">
      <c r="B373" s="60" t="s">
        <v>924</v>
      </c>
      <c r="C373" s="60" t="str">
        <f>IF(Sprache=Glossary!$D$9,D373,IF(Sprache=Glossary!$E$9,E373,IF(Sprache=Glossary!$F$9,Glossary!F373)))</f>
        <v>Versicherungsbezogene Instrumente (z.B. Cat Derivate)</v>
      </c>
      <c r="D373" s="60" t="s">
        <v>905</v>
      </c>
      <c r="E373" s="60" t="s">
        <v>633</v>
      </c>
      <c r="F373" s="60" t="s">
        <v>906</v>
      </c>
    </row>
    <row r="374" spans="2:6">
      <c r="B374" s="60" t="s">
        <v>928</v>
      </c>
      <c r="C374" s="60" t="str">
        <f>IF(Sprache=Glossary!$D$9,D374,IF(Sprache=Glossary!$E$9,E374,IF(Sprache=Glossary!$F$9,Glossary!F374)))</f>
        <v>Übrige derivative Instrumente</v>
      </c>
      <c r="D374" s="60" t="s">
        <v>636</v>
      </c>
      <c r="E374" s="60" t="s">
        <v>637</v>
      </c>
      <c r="F374" s="60" t="s">
        <v>638</v>
      </c>
    </row>
    <row r="376" spans="2:6">
      <c r="B376" s="60" t="s">
        <v>932</v>
      </c>
      <c r="C376" s="60" t="str">
        <f>IF(Sprache=Glossary!$D$9,D376,IF(Sprache=Glossary!$E$9,E376,IF(Sprache=Glossary!$F$9,Glossary!F376)))</f>
        <v>2.6 Depotverbindlichkeiten aus abgegebener Rückversicherung</v>
      </c>
      <c r="D376" s="60" t="s">
        <v>909</v>
      </c>
      <c r="E376" s="60" t="s">
        <v>910</v>
      </c>
      <c r="F376" s="60" t="s">
        <v>911</v>
      </c>
    </row>
    <row r="378" spans="2:6">
      <c r="B378" s="60" t="s">
        <v>936</v>
      </c>
      <c r="C378" s="60" t="str">
        <f>IF(Sprache=Glossary!$D$9,D378,IF(Sprache=Glossary!$E$9,E378,IF(Sprache=Glossary!$F$9,Glossary!F378)))</f>
        <v>2.7 Verbindlichkeiten aus dem Versicherungsgeschäft</v>
      </c>
      <c r="D378" s="60" t="s">
        <v>913</v>
      </c>
      <c r="E378" s="60" t="s">
        <v>914</v>
      </c>
      <c r="F378" s="60" t="s">
        <v>915</v>
      </c>
    </row>
    <row r="379" spans="2:6">
      <c r="B379" s="60" t="s">
        <v>940</v>
      </c>
      <c r="C379" s="60" t="str">
        <f>IF(Sprache=Glossary!$D$9,D379,IF(Sprache=Glossary!$E$9,E379,IF(Sprache=Glossary!$F$9,Glossary!F379)))</f>
        <v>Sonstige Depotverbindlichkeiten</v>
      </c>
      <c r="D379" s="60" t="s">
        <v>917</v>
      </c>
      <c r="E379" s="60" t="s">
        <v>918</v>
      </c>
      <c r="F379" s="60" t="s">
        <v>919</v>
      </c>
    </row>
    <row r="380" spans="2:6">
      <c r="B380" s="60" t="s">
        <v>944</v>
      </c>
      <c r="C380" s="60" t="str">
        <f>IF(Sprache=Glossary!$D$9,D380,IF(Sprache=Glossary!$E$9,E380,IF(Sprache=Glossary!$F$9,Glossary!F380)))</f>
        <v>Sonstige Verbindlichkeiten aus dem Versicherungsgeschäft</v>
      </c>
      <c r="D380" s="60" t="s">
        <v>921</v>
      </c>
      <c r="E380" s="60" t="s">
        <v>922</v>
      </c>
      <c r="F380" s="60" t="s">
        <v>923</v>
      </c>
    </row>
    <row r="382" spans="2:6">
      <c r="B382" s="60" t="s">
        <v>945</v>
      </c>
      <c r="C382" s="60" t="str">
        <f>IF(Sprache=Glossary!$D$9,D382,IF(Sprache=Glossary!$E$9,E382,IF(Sprache=Glossary!$F$9,Glossary!F382)))</f>
        <v>2.8 Sonstige Passiven</v>
      </c>
      <c r="D382" s="60" t="s">
        <v>925</v>
      </c>
      <c r="E382" s="60" t="s">
        <v>926</v>
      </c>
      <c r="F382" s="60" t="s">
        <v>927</v>
      </c>
    </row>
    <row r="383" spans="2:6">
      <c r="B383" s="60" t="s">
        <v>949</v>
      </c>
      <c r="C383" s="60" t="str">
        <f>IF(Sprache=Glossary!$D$9,D383,IF(Sprache=Glossary!$E$9,E383,IF(Sprache=Glossary!$F$9,Glossary!F383)))</f>
        <v>Gegebene Garantien, Bürgschaften</v>
      </c>
      <c r="D383" s="60" t="s">
        <v>929</v>
      </c>
      <c r="E383" s="60" t="s">
        <v>930</v>
      </c>
      <c r="F383" s="60" t="s">
        <v>931</v>
      </c>
    </row>
    <row r="384" spans="2:6">
      <c r="B384" s="60" t="s">
        <v>950</v>
      </c>
      <c r="C384" s="60" t="str">
        <f>IF(Sprache=Glossary!$D$9,D384,IF(Sprache=Glossary!$E$9,E384,IF(Sprache=Glossary!$F$9,Glossary!F384)))</f>
        <v>Sonstige Verbindlichkeiten</v>
      </c>
      <c r="D384" s="60" t="s">
        <v>933</v>
      </c>
      <c r="E384" s="60" t="s">
        <v>934</v>
      </c>
      <c r="F384" s="60" t="s">
        <v>935</v>
      </c>
    </row>
    <row r="386" spans="2:6">
      <c r="B386" s="60" t="s">
        <v>951</v>
      </c>
      <c r="C386" s="60" t="str">
        <f>IF(Sprache=Glossary!$D$9,D386,IF(Sprache=Glossary!$E$9,E386,IF(Sprache=Glossary!$F$9,Glossary!F386)))</f>
        <v>2.9. Passive Rechnungsabgrenzungen</v>
      </c>
      <c r="D386" s="60" t="s">
        <v>937</v>
      </c>
      <c r="E386" s="60" t="s">
        <v>938</v>
      </c>
      <c r="F386" s="60" t="s">
        <v>939</v>
      </c>
    </row>
    <row r="387" spans="2:6">
      <c r="B387" s="60" t="s">
        <v>952</v>
      </c>
      <c r="C387" s="60" t="str">
        <f>IF(Sprache=Glossary!$D$9,D387,IF(Sprache=Glossary!$E$9,E387,IF(Sprache=Glossary!$F$9,Glossary!F387)))</f>
        <v>Latente Steuerverpflichtungen</v>
      </c>
      <c r="D387" s="60" t="s">
        <v>941</v>
      </c>
      <c r="E387" s="60" t="s">
        <v>942</v>
      </c>
      <c r="F387" s="60" t="s">
        <v>943</v>
      </c>
    </row>
    <row r="388" spans="2:6">
      <c r="B388" s="60" t="s">
        <v>953</v>
      </c>
      <c r="C388" s="60" t="str">
        <f>IF(Sprache=Glossary!$D$9,D388,IF(Sprache=Glossary!$E$9,E388,IF(Sprache=Glossary!$F$9,Glossary!F388)))</f>
        <v>Sonstige Rechnungsabgrenzungsposten</v>
      </c>
      <c r="D388" s="60" t="s">
        <v>773</v>
      </c>
      <c r="E388" s="60" t="s">
        <v>774</v>
      </c>
      <c r="F388" s="60" t="s">
        <v>775</v>
      </c>
    </row>
    <row r="390" spans="2:6">
      <c r="B390" s="60" t="s">
        <v>954</v>
      </c>
      <c r="C390" s="60" t="str">
        <f>IF(Sprache=Glossary!$D$9,D390,IF(Sprache=Glossary!$E$9,E390,IF(Sprache=Glossary!$F$9,Glossary!F390)))</f>
        <v>2.10 Nachrangige Verbindlichkeiten</v>
      </c>
      <c r="D390" s="60" t="s">
        <v>946</v>
      </c>
      <c r="E390" s="60" t="s">
        <v>947</v>
      </c>
      <c r="F390" s="60" t="s">
        <v>948</v>
      </c>
    </row>
    <row r="391" spans="2:6">
      <c r="B391" s="60" t="s">
        <v>957</v>
      </c>
      <c r="C391" s="60" t="str">
        <f>IF(Sprache=Glossary!$D$9,D391,IF(Sprache=Glossary!$E$9,E391,IF(Sprache=Glossary!$F$9,Glossary!F391)))</f>
        <v>Unbefristete nachrangige Verbindlichkeiten (ohne Abschreibungs- und Wandlungscharakter)</v>
      </c>
      <c r="D391" s="60" t="s">
        <v>1092</v>
      </c>
      <c r="E391" s="60" t="s">
        <v>1093</v>
      </c>
      <c r="F391" s="60" t="s">
        <v>1094</v>
      </c>
    </row>
    <row r="392" spans="2:6">
      <c r="B392" s="60" t="s">
        <v>961</v>
      </c>
      <c r="C392" s="60" t="str">
        <f>IF(Sprache=Glossary!$D$9,D392,IF(Sprache=Glossary!$E$9,E392,IF(Sprache=Glossary!$F$9,Glossary!F392)))</f>
        <v>Tier 2-RAK - im SST angerechnet</v>
      </c>
      <c r="D392" s="60" t="s">
        <v>1095</v>
      </c>
      <c r="E392" s="60" t="s">
        <v>1096</v>
      </c>
      <c r="F392" s="60" t="s">
        <v>1097</v>
      </c>
    </row>
    <row r="393" spans="2:6">
      <c r="B393" s="60" t="s">
        <v>965</v>
      </c>
      <c r="C393" s="60" t="str">
        <f>IF(Sprache=Glossary!$D$9,D393,IF(Sprache=Glossary!$E$9,E393,IF(Sprache=Glossary!$F$9,Glossary!F393)))</f>
        <v>Tier 2-RAK - im SST nicht angerechnet</v>
      </c>
      <c r="D393" s="60" t="s">
        <v>1098</v>
      </c>
      <c r="E393" s="60" t="s">
        <v>1099</v>
      </c>
      <c r="F393" s="60" t="s">
        <v>1100</v>
      </c>
    </row>
    <row r="394" spans="2:6">
      <c r="B394" s="60" t="s">
        <v>969</v>
      </c>
      <c r="C394" s="60" t="str">
        <f>IF(Sprache=Glossary!$D$9,D394,IF(Sprache=Glossary!$E$9,E394,IF(Sprache=Glossary!$F$9,Glossary!F394)))</f>
        <v>Andere unbefristete nachrangige Verbindlichkeiten (ohne Abschreibungs- und Wandlungscharakter)</v>
      </c>
      <c r="D394" s="60" t="s">
        <v>1101</v>
      </c>
      <c r="E394" s="60" t="s">
        <v>1102</v>
      </c>
      <c r="F394" s="60" t="s">
        <v>1103</v>
      </c>
    </row>
    <row r="395" spans="2:6">
      <c r="B395" s="60" t="s">
        <v>973</v>
      </c>
      <c r="C395" s="60" t="str">
        <f>IF(Sprache=Glossary!$D$9,D395,IF(Sprache=Glossary!$E$9,E395,IF(Sprache=Glossary!$F$9,Glossary!F395)))</f>
        <v>Unbefristete nachrangige Verbindlichkeiten - Abschreibungs- und Wandlungsinstrumente</v>
      </c>
      <c r="D395" s="60" t="s">
        <v>1104</v>
      </c>
      <c r="E395" s="60" t="s">
        <v>1105</v>
      </c>
      <c r="F395" s="60" t="s">
        <v>1106</v>
      </c>
    </row>
    <row r="396" spans="2:6">
      <c r="B396" s="60" t="s">
        <v>977</v>
      </c>
      <c r="C396" s="60" t="str">
        <f>IF(Sprache=Glossary!$D$9,D396,IF(Sprache=Glossary!$E$9,E396,IF(Sprache=Glossary!$F$9,Glossary!F396)))</f>
        <v>Tier 1-RAK - Abschreibungsinstrument - im SST angerechnet</v>
      </c>
      <c r="D396" s="60" t="s">
        <v>1107</v>
      </c>
      <c r="E396" s="60" t="s">
        <v>1108</v>
      </c>
      <c r="F396" s="60" t="s">
        <v>1109</v>
      </c>
    </row>
    <row r="397" spans="2:6">
      <c r="B397" s="60" t="s">
        <v>981</v>
      </c>
      <c r="C397" s="60" t="str">
        <f>IF(Sprache=Glossary!$D$9,D397,IF(Sprache=Glossary!$E$9,E397,IF(Sprache=Glossary!$F$9,Glossary!F397)))</f>
        <v>Tier 1-RAK - Wandlungsinstrument - im SST angerechnet</v>
      </c>
      <c r="D397" s="60" t="s">
        <v>1110</v>
      </c>
      <c r="E397" s="60" t="s">
        <v>1111</v>
      </c>
      <c r="F397" s="60" t="s">
        <v>1112</v>
      </c>
    </row>
    <row r="398" spans="2:6">
      <c r="B398" s="60" t="s">
        <v>983</v>
      </c>
      <c r="C398" s="60" t="str">
        <f>IF(Sprache=Glossary!$D$9,D398,IF(Sprache=Glossary!$E$9,E398,IF(Sprache=Glossary!$F$9,Glossary!F398)))</f>
        <v>Tier 1-RAK - Abschreibungs- und Wandlungsinstrument - im SST nicht angerechnet</v>
      </c>
      <c r="D398" s="60" t="s">
        <v>1113</v>
      </c>
      <c r="E398" s="60" t="s">
        <v>1114</v>
      </c>
      <c r="F398" s="60" t="s">
        <v>1115</v>
      </c>
    </row>
    <row r="399" spans="2:6">
      <c r="B399" s="60" t="s">
        <v>984</v>
      </c>
      <c r="C399" s="60" t="str">
        <f>IF(Sprache=Glossary!$D$9,D399,IF(Sprache=Glossary!$E$9,E399,IF(Sprache=Glossary!$F$9,Glossary!F399)))</f>
        <v>Andere Abschreibungs- und Wandlungsinstrumente</v>
      </c>
      <c r="D399" s="60" t="s">
        <v>1116</v>
      </c>
      <c r="E399" s="60" t="s">
        <v>1117</v>
      </c>
      <c r="F399" s="60" t="s">
        <v>1118</v>
      </c>
    </row>
    <row r="400" spans="2:6">
      <c r="B400" s="60" t="s">
        <v>985</v>
      </c>
      <c r="C400" s="60" t="str">
        <f>IF(Sprache=Glossary!$D$9,D400,IF(Sprache=Glossary!$E$9,E400,IF(Sprache=Glossary!$F$9,Glossary!F400)))</f>
        <v>Befristete nachrangige Verbindlichkeiten</v>
      </c>
      <c r="D400" s="60" t="s">
        <v>1119</v>
      </c>
      <c r="E400" s="60" t="s">
        <v>1120</v>
      </c>
      <c r="F400" s="60" t="s">
        <v>1121</v>
      </c>
    </row>
    <row r="401" spans="2:6">
      <c r="B401" s="60" t="s">
        <v>986</v>
      </c>
      <c r="C401" s="60" t="str">
        <f>IF(Sprache=Glossary!$D$9,D401,IF(Sprache=Glossary!$E$9,E401,IF(Sprache=Glossary!$F$9,Glossary!F401)))</f>
        <v>Tier 2-RAK - im SST angerechnet</v>
      </c>
      <c r="D401" s="60" t="s">
        <v>1095</v>
      </c>
      <c r="E401" s="60" t="s">
        <v>1096</v>
      </c>
      <c r="F401" s="60" t="s">
        <v>1097</v>
      </c>
    </row>
    <row r="402" spans="2:6">
      <c r="B402" s="60" t="s">
        <v>988</v>
      </c>
      <c r="C402" s="60" t="str">
        <f>IF(Sprache=Glossary!$D$9,D402,IF(Sprache=Glossary!$E$9,E402,IF(Sprache=Glossary!$F$9,Glossary!F402)))</f>
        <v>Tier 2-RAK - im SST nicht angerechnet</v>
      </c>
      <c r="D402" s="60" t="s">
        <v>1098</v>
      </c>
      <c r="E402" s="60" t="s">
        <v>1099</v>
      </c>
      <c r="F402" s="60" t="s">
        <v>1100</v>
      </c>
    </row>
    <row r="403" spans="2:6">
      <c r="B403" s="60" t="s">
        <v>992</v>
      </c>
      <c r="C403" s="60" t="str">
        <f>IF(Sprache=Glossary!$D$9,D403,IF(Sprache=Glossary!$E$9,E403,IF(Sprache=Glossary!$F$9,Glossary!F403)))</f>
        <v>Andere befristete nachrangige Verbindlichkeiten</v>
      </c>
      <c r="D403" s="60" t="s">
        <v>1122</v>
      </c>
      <c r="E403" s="60" t="s">
        <v>1123</v>
      </c>
      <c r="F403" s="60" t="s">
        <v>1124</v>
      </c>
    </row>
    <row r="405" spans="2:6">
      <c r="B405" s="60" t="s">
        <v>1125</v>
      </c>
      <c r="C405" s="60" t="str">
        <f>IF(Sprache=Glossary!$D$9,D405,IF(Sprache=Glossary!$E$9,E405,IF(Sprache=Glossary!$F$9,Glossary!F405)))</f>
        <v>Total Verbindlichkeiten</v>
      </c>
      <c r="D405" s="60" t="s">
        <v>955</v>
      </c>
      <c r="E405" s="60" t="s">
        <v>956</v>
      </c>
      <c r="F405" s="60" t="s">
        <v>215</v>
      </c>
    </row>
    <row r="407" spans="2:6">
      <c r="B407" s="60" t="s">
        <v>1126</v>
      </c>
      <c r="C407" s="60" t="str">
        <f>IF(Sprache=Glossary!$D$9,D407,IF(Sprache=Glossary!$E$9,E407,IF(Sprache=Glossary!$F$9,Glossary!F407)))</f>
        <v>Differenz</v>
      </c>
      <c r="D407" s="60" t="s">
        <v>958</v>
      </c>
      <c r="E407" s="60" t="s">
        <v>959</v>
      </c>
      <c r="F407" s="60" t="s">
        <v>960</v>
      </c>
    </row>
    <row r="409" spans="2:6">
      <c r="B409" s="60" t="s">
        <v>1127</v>
      </c>
      <c r="C409" s="60" t="str">
        <f>IF(Sprache=Glossary!$D$9,D409,IF(Sprache=Glossary!$E$9,E409,IF(Sprache=Glossary!$F$9,Glossary!F409)))</f>
        <v>Alle anderen Anleihen (Pfandbriefanleihen, Wandelanleihen, sonstige Anleihen)</v>
      </c>
      <c r="D409" s="60" t="s">
        <v>962</v>
      </c>
      <c r="E409" s="60" t="s">
        <v>963</v>
      </c>
      <c r="F409" s="60" t="s">
        <v>964</v>
      </c>
    </row>
    <row r="410" spans="2:6">
      <c r="B410" s="60" t="s">
        <v>1128</v>
      </c>
      <c r="C410" s="60" t="str">
        <f>IF(Sprache=Glossary!$D$9,D410,IF(Sprache=Glossary!$E$9,E410,IF(Sprache=Glossary!$F$9,Glossary!F410)))</f>
        <v>Aufriss nach Währungen</v>
      </c>
      <c r="D410" s="60" t="s">
        <v>966</v>
      </c>
      <c r="E410" s="60" t="s">
        <v>967</v>
      </c>
      <c r="F410" s="60" t="s">
        <v>968</v>
      </c>
    </row>
    <row r="412" spans="2:6">
      <c r="B412" s="60" t="s">
        <v>1129</v>
      </c>
      <c r="C412" s="60" t="str">
        <f>IF(Sprache=Glossary!$D$9,D412,IF(Sprache=Glossary!$E$9,E412,IF(Sprache=Glossary!$F$9,Glossary!F412)))</f>
        <v>Aktiven prüfen</v>
      </c>
      <c r="D412" s="60" t="s">
        <v>970</v>
      </c>
      <c r="E412" s="60" t="s">
        <v>971</v>
      </c>
      <c r="F412" s="60" t="s">
        <v>972</v>
      </c>
    </row>
    <row r="413" spans="2:6">
      <c r="B413" s="60" t="s">
        <v>1130</v>
      </c>
      <c r="C413" s="60" t="str">
        <f>IF(Sprache=Glossary!$D$9,D413,IF(Sprache=Glossary!$E$9,E413,IF(Sprache=Glossary!$F$9,Glossary!F413)))</f>
        <v>Verbindlichkeiten prüfen</v>
      </c>
      <c r="D413" s="60" t="s">
        <v>974</v>
      </c>
      <c r="E413" s="60" t="s">
        <v>975</v>
      </c>
      <c r="F413" s="60" t="s">
        <v>976</v>
      </c>
    </row>
    <row r="415" spans="2:6">
      <c r="B415" s="60" t="s">
        <v>1131</v>
      </c>
      <c r="C415" s="60" t="str">
        <f>IF(Sprache=Glossary!$D$9,D415,IF(Sprache=Glossary!$E$9,E415,IF(Sprache=Glossary!$F$9,Glossary!F415)))</f>
        <v>Komponente</v>
      </c>
      <c r="D415" s="60" t="s">
        <v>978</v>
      </c>
      <c r="E415" s="60" t="s">
        <v>979</v>
      </c>
      <c r="F415" s="60" t="s">
        <v>980</v>
      </c>
    </row>
    <row r="417" spans="2:6">
      <c r="B417" s="60" t="s">
        <v>1132</v>
      </c>
      <c r="C417" s="60" t="str">
        <f>IF(Sprache=Glossary!$D$9,D417,IF(Sprache=Glossary!$E$9,E417,IF(Sprache=Glossary!$F$9,Glossary!F417)))</f>
        <v>Aktiven</v>
      </c>
      <c r="D417" s="60" t="s">
        <v>307</v>
      </c>
      <c r="E417" s="60" t="s">
        <v>982</v>
      </c>
      <c r="F417" s="60" t="s">
        <v>309</v>
      </c>
    </row>
    <row r="418" spans="2:6">
      <c r="B418" s="60" t="s">
        <v>1133</v>
      </c>
      <c r="C418" s="60" t="str">
        <f>IF(Sprache=Glossary!$D$9,D418,IF(Sprache=Glossary!$E$9,E418,IF(Sprache=Glossary!$F$9,Glossary!F418)))</f>
        <v>Verbindlichkeiten</v>
      </c>
      <c r="D418" s="60" t="s">
        <v>140</v>
      </c>
      <c r="E418" s="60" t="s">
        <v>214</v>
      </c>
      <c r="F418" s="60" t="s">
        <v>785</v>
      </c>
    </row>
    <row r="419" spans="2:6">
      <c r="B419" s="60" t="s">
        <v>1134</v>
      </c>
      <c r="C419" s="60" t="str">
        <f>IF(Sprache=Glossary!$D$9,D419,IF(Sprache=Glossary!$E$9,E419,IF(Sprache=Glossary!$F$9,Glossary!F419)))</f>
        <v>Differenz</v>
      </c>
      <c r="D419" s="60" t="s">
        <v>958</v>
      </c>
      <c r="E419" s="60" t="s">
        <v>959</v>
      </c>
      <c r="F419" s="60" t="s">
        <v>960</v>
      </c>
    </row>
    <row r="420" spans="2:6">
      <c r="B420" s="60" t="s">
        <v>1135</v>
      </c>
      <c r="C420" s="60" t="str">
        <f>IF(Sprache=Glossary!$D$9,D420,IF(Sprache=Glossary!$E$9,E420,IF(Sprache=Glossary!$F$9,Glossary!F420)))</f>
        <v>Abzüge</v>
      </c>
      <c r="D420" s="60" t="s">
        <v>229</v>
      </c>
      <c r="E420" s="60" t="s">
        <v>230</v>
      </c>
      <c r="F420" s="60" t="s">
        <v>231</v>
      </c>
    </row>
    <row r="421" spans="2:6">
      <c r="B421" s="60" t="s">
        <v>1136</v>
      </c>
      <c r="C421" s="60" t="str">
        <f>IF(Sprache=Glossary!$D$9,D421,IF(Sprache=Glossary!$E$9,E421,IF(Sprache=Glossary!$F$9,Glossary!F421)))</f>
        <v>RAK (im RTK angerechnet)</v>
      </c>
      <c r="D421" s="60" t="s">
        <v>233</v>
      </c>
      <c r="E421" s="60" t="s">
        <v>234</v>
      </c>
      <c r="F421" s="60" t="s">
        <v>987</v>
      </c>
    </row>
    <row r="422" spans="2:6">
      <c r="B422" s="60" t="s">
        <v>1137</v>
      </c>
      <c r="C422" s="60" t="str">
        <f>IF(Sprache=Glossary!$D$9,D422,IF(Sprache=Glossary!$E$9,E422,IF(Sprache=Glossary!$F$9,Glossary!F422)))</f>
        <v>Eigenkapital/Risikotragendes Kapital</v>
      </c>
      <c r="D422" s="60" t="s">
        <v>989</v>
      </c>
      <c r="E422" s="60" t="s">
        <v>990</v>
      </c>
      <c r="F422" s="60" t="s">
        <v>991</v>
      </c>
    </row>
    <row r="424" spans="2:6">
      <c r="B424" s="60" t="s">
        <v>1138</v>
      </c>
      <c r="C424" s="60" t="str">
        <f>IF(Sprache=Glossary!$D$9,D424,IF(Sprache=Glossary!$E$9,E424,IF(Sprache=Glossary!$F$9,Glossary!F424)))</f>
        <v>Prüfung</v>
      </c>
      <c r="D424" s="60" t="s">
        <v>993</v>
      </c>
      <c r="E424" s="60" t="s">
        <v>994</v>
      </c>
      <c r="F424" s="60" t="s">
        <v>995</v>
      </c>
    </row>
    <row r="427" spans="2:6">
      <c r="B427" s="198" t="s">
        <v>996</v>
      </c>
      <c r="C427" s="198"/>
      <c r="D427" s="198"/>
      <c r="E427" s="198"/>
      <c r="F427" s="198"/>
    </row>
  </sheetData>
  <mergeCells count="19">
    <mergeCell ref="B24:F24"/>
    <mergeCell ref="B25:F25"/>
    <mergeCell ref="B27:F27"/>
    <mergeCell ref="B137:F137"/>
    <mergeCell ref="B133:F133"/>
    <mergeCell ref="B46:F46"/>
    <mergeCell ref="B67:F67"/>
    <mergeCell ref="B68:F68"/>
    <mergeCell ref="B76:F76"/>
    <mergeCell ref="B90:F90"/>
    <mergeCell ref="B91:F91"/>
    <mergeCell ref="B113:F113"/>
    <mergeCell ref="B114:F114"/>
    <mergeCell ref="B99:F99"/>
    <mergeCell ref="B122:F122"/>
    <mergeCell ref="B132:F132"/>
    <mergeCell ref="B427:F427"/>
    <mergeCell ref="B35:F35"/>
    <mergeCell ref="B36:F36"/>
  </mergeCells>
  <phoneticPr fontId="27" type="noConversion"/>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nma Document" ma:contentTypeID="0x0101003951D1F36BC944E987AD610ADE6A10C3002366F3BBC8CE234B84695397A2A93407" ma:contentTypeVersion="10" ma:contentTypeDescription="Ein neues Dokument erstellen." ma:contentTypeScope="" ma:versionID="0568cc6719dc77685f726e99c7c2fb4c">
  <xsd:schema xmlns:xsd="http://www.w3.org/2001/XMLSchema" xmlns:xs="http://www.w3.org/2001/XMLSchema" xmlns:p="http://schemas.microsoft.com/office/2006/metadata/properties" xmlns:ns2="82c37705-afd5-4d11-a1ea-0266d9d1a166" xmlns:ns3="http://schemas.microsoft.com/sharepoint/v3/fields" xmlns:ns4="08F44E9F-55A5-4D8C-81FA-E5E52F0C7A16" xmlns:ns5="08f44e9f-55a5-4d8c-81fa-e5e52f0c7a16" targetNamespace="http://schemas.microsoft.com/office/2006/metadata/properties" ma:root="true" ma:fieldsID="17b5d0fba45ccd7280729390c91a62fb" ns2:_="" ns3:_="" ns4:_="" ns5:_="">
    <xsd:import namespace="82c37705-afd5-4d11-a1ea-0266d9d1a166"/>
    <xsd:import namespace="http://schemas.microsoft.com/sharepoint/v3/fields"/>
    <xsd:import namespace="08F44E9F-55A5-4D8C-81FA-E5E52F0C7A16"/>
    <xsd:import namespace="08f44e9f-55a5-4d8c-81fa-e5e52f0c7a16"/>
    <xsd:element name="properties">
      <xsd:complexType>
        <xsd:sequence>
          <xsd:element name="documentManagement">
            <xsd:complexType>
              <xsd:all>
                <xsd:element ref="ns2:_dlc_DocId" minOccurs="0"/>
                <xsd:element ref="ns2:_dlc_DocIdUrl" minOccurs="0"/>
                <xsd:element ref="ns2:_dlc_DocIdPersistId" minOccurs="0"/>
                <xsd:element ref="ns3:Topic_Note" minOccurs="0"/>
                <xsd:element ref="ns3:OU_Note" minOccurs="0"/>
                <xsd:element ref="ns3:OSP_Note" minOccurs="0"/>
                <xsd:element ref="ns4:RetentionPeriod" minOccurs="0"/>
                <xsd:element ref="ns5:SeqenceNumber" minOccurs="0"/>
                <xsd:element ref="ns5:AgendaItemGUID" minOccurs="0"/>
                <xsd:element ref="ns5:ToBeArchived" minOccurs="0"/>
                <xsd:element ref="ns4:Document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37705-afd5-4d11-a1ea-0266d9d1a16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opic_Note" ma:index="14" nillable="true" ma:taxonomy="true" ma:internalName="Topic_Note" ma:taxonomyFieldName="Topic" ma:displayName="Thema" ma:readOnly="false" ma:default="" ma:fieldId="{a64374eb-6e28-4d6b-ae22-c24ecbfd0ec3}" ma:sspId="27609f53-2d13-42be-a2b4-fd8d7f3f64db" ma:termSetId="7b4b023d-5e9a-475b-a148-dfe01b6a8d09" ma:anchorId="00000000-0000-0000-0000-000000000000" ma:open="true" ma:isKeyword="false">
      <xsd:complexType>
        <xsd:sequence>
          <xsd:element ref="pc:Terms" minOccurs="0" maxOccurs="1"/>
        </xsd:sequence>
      </xsd:complexType>
    </xsd:element>
    <xsd:element name="OU_Note" ma:index="16" nillable="true" ma:taxonomy="true" ma:internalName="OU_Note" ma:taxonomyFieldName="OU" ma:displayName="Organisationseinheit" ma:readOnly="false" ma:default="2;#GB-V|f8d7b412-2487-4e9a-b58d-c7490dedd0c5" ma:fieldId="{fcb30f0d-baee-4a7e-876f-d65b0367c7a8}" ma:sspId="27609f53-2d13-42be-a2b4-fd8d7f3f64db" ma:termSetId="2e7da289-48a2-42d8-b875-47a1903a1d9d" ma:anchorId="00000000-0000-0000-0000-000000000000" ma:open="false" ma:isKeyword="false">
      <xsd:complexType>
        <xsd:sequence>
          <xsd:element ref="pc:Terms" minOccurs="0" maxOccurs="1"/>
        </xsd:sequence>
      </xsd:complexType>
    </xsd:element>
    <xsd:element name="OSP_Note" ma:index="18" nillable="true" ma:taxonomy="true" ma:internalName="OSP_Note" ma:taxonomyFieldName="OSP" ma:displayName="Ordnungssystemposition" ma:readOnly="false" ma:fieldId="{47fc1aad-a32f-4b87-b398-8d261b0da966}" ma:sspId="27609f53-2d13-42be-a2b4-fd8d7f3f64db" ma:termSetId="6eefd7ee-d6f6-47de-bb49-f1d34202032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F44E9F-55A5-4D8C-81FA-E5E52F0C7A16" elementFormDefault="qualified">
    <xsd:import namespace="http://schemas.microsoft.com/office/2006/documentManagement/types"/>
    <xsd:import namespace="http://schemas.microsoft.com/office/infopath/2007/PartnerControls"/>
    <xsd:element name="RetentionPeriod" ma:index="19" nillable="true" ma:displayName="Aufbewahrungsfrist" ma:description="Aufbewahrungsfrist des Dossiers" ma:hidden="true" ma:internalName="RetentionPeriod" ma:readOnly="false">
      <xsd:simpleType>
        <xsd:restriction base="dms:Text"/>
      </xsd:simpleType>
    </xsd:element>
    <xsd:element name="DocumentDate" ma:index="23" ma:displayName="Datum" ma:default="[today]" ma:description="Dokumentendatum" ma:format="DateOnly" ma:internalName="Docum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8f44e9f-55a5-4d8c-81fa-e5e52f0c7a16" elementFormDefault="qualified">
    <xsd:import namespace="http://schemas.microsoft.com/office/2006/documentManagement/types"/>
    <xsd:import namespace="http://schemas.microsoft.com/office/infopath/2007/PartnerControls"/>
    <xsd:element name="SeqenceNumber" ma:index="20" nillable="true" ma:displayName="Reihenfolge Nummer" ma:internalName="SeqenceNumber" ma:readOnly="false">
      <xsd:simpleType>
        <xsd:restriction base="dms:Unknown"/>
      </xsd:simpleType>
    </xsd:element>
    <xsd:element name="AgendaItemGUID" ma:index="21" nillable="true" ma:displayName="Traktandum GUID" ma:internalName="AgendaItemGUID" ma:readOnly="false">
      <xsd:simpleType>
        <xsd:restriction base="dms:Text"/>
      </xsd:simpleType>
    </xsd:element>
    <xsd:element name="ToBeArchived" ma:index="22" nillable="true" ma:displayName="Archivwürdig" ma:description="Soll das Dossier archiviert werden" ma:hidden="true" ma:internalName="ToBeArchived"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opic_Note xmlns="http://schemas.microsoft.com/sharepoint/v3/fields">
      <Terms xmlns="http://schemas.microsoft.com/office/infopath/2007/PartnerControls">
        <TermInfo xmlns="http://schemas.microsoft.com/office/infopath/2007/PartnerControls">
          <TermName xmlns="http://schemas.microsoft.com/office/infopath/2007/PartnerControls">Aufsichtsabgabe</TermName>
          <TermId xmlns="http://schemas.microsoft.com/office/infopath/2007/PartnerControls">1bb1ff23-244b-430d-b77e-6c87f49b07f4</TermId>
        </TermInfo>
      </Terms>
    </Topic_Note>
    <OSP_Note xmlns="http://schemas.microsoft.com/sharepoint/v3/fields">
      <Terms xmlns="http://schemas.microsoft.com/office/infopath/2007/PartnerControls">
        <TermInfo xmlns="http://schemas.microsoft.com/office/infopath/2007/PartnerControls">
          <TermName xmlns="http://schemas.microsoft.com/office/infopath/2007/PartnerControls">4-02.9 Verschiedenes</TermName>
          <TermId xmlns="http://schemas.microsoft.com/office/infopath/2007/PartnerControls">b7add63a-7a8a-4b8a-bfff-6c9ce2cbce07</TermId>
        </TermInfo>
      </Terms>
    </OSP_Note>
    <OU_Note xmlns="http://schemas.microsoft.com/sharepoint/v3/fields">
      <Terms xmlns="http://schemas.microsoft.com/office/infopath/2007/PartnerControls">
        <TermInfo xmlns="http://schemas.microsoft.com/office/infopath/2007/PartnerControls">
          <TermName xmlns="http://schemas.microsoft.com/office/infopath/2007/PartnerControls">GB-V</TermName>
          <TermId xmlns="http://schemas.microsoft.com/office/infopath/2007/PartnerControls">f8d7b412-2487-4e9a-b58d-c7490dedd0c5</TermId>
        </TermInfo>
      </Terms>
    </OU_Note>
    <ToBeArchived xmlns="08f44e9f-55a5-4d8c-81fa-e5e52f0c7a16">Nein</ToBeArchived>
    <_dlc_DocId xmlns="82c37705-afd5-4d11-a1ea-0266d9d1a166">6009-P-2-6894</_dlc_DocId>
    <SeqenceNumber xmlns="08f44e9f-55a5-4d8c-81fa-e5e52f0c7a16" xsi:nil="true"/>
    <RetentionPeriod xmlns="08F44E9F-55A5-4D8C-81FA-E5E52F0C7A16">15</RetentionPeriod>
    <AgendaItemGUID xmlns="08f44e9f-55a5-4d8c-81fa-e5e52f0c7a16" xsi:nil="true"/>
    <DocumentDate xmlns="08F44E9F-55A5-4D8C-81FA-E5E52F0C7A16">2024-10-28T23:00:00+00:00</DocumentDate>
    <_dlc_DocIdUrl xmlns="82c37705-afd5-4d11-a1ea-0266d9d1a166">
      <Url>https://dok.finma.ch/sites/6009-P/_layouts/15/DocIdRedir.aspx?ID=6009-P-2-6894</Url>
      <Description>6009-P-2-6894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887517B-9745-4697-A8B2-AA9D4D73AC10}"/>
</file>

<file path=customXml/itemProps2.xml><?xml version="1.0" encoding="utf-8"?>
<ds:datastoreItem xmlns:ds="http://schemas.openxmlformats.org/officeDocument/2006/customXml" ds:itemID="{44F29722-CE14-443F-8072-AEB95BD02B41}">
  <ds:schemaRefs>
    <ds:schemaRef ds:uri="a13ce8e2-0bfa-4ae3-b62f-afeb61f48330"/>
    <ds:schemaRef ds:uri="http://schemas.microsoft.com/office/2006/documentManagement/types"/>
    <ds:schemaRef ds:uri="1ab9bbcc-83c6-4736-b39b-aba04a32d413"/>
    <ds:schemaRef ds:uri="http://purl.org/dc/elements/1.1/"/>
    <ds:schemaRef ds:uri="http://schemas.microsoft.com/office/2006/metadata/properties"/>
    <ds:schemaRef ds:uri="http://schemas.microsoft.com/sharepoint/v3/fields"/>
    <ds:schemaRef ds:uri="http://schemas.openxmlformats.org/package/2006/metadata/core-properties"/>
    <ds:schemaRef ds:uri="http://purl.org/dc/terms/"/>
    <ds:schemaRef ds:uri="http://schemas.microsoft.com/office/infopath/2007/PartnerControls"/>
    <ds:schemaRef ds:uri="1AB9BBCC-83C6-4736-B39B-ABA04A32D413"/>
    <ds:schemaRef ds:uri="http://www.w3.org/XML/1998/namespace"/>
    <ds:schemaRef ds:uri="http://purl.org/dc/dcmitype/"/>
  </ds:schemaRefs>
</ds:datastoreItem>
</file>

<file path=customXml/itemProps3.xml><?xml version="1.0" encoding="utf-8"?>
<ds:datastoreItem xmlns:ds="http://schemas.openxmlformats.org/officeDocument/2006/customXml" ds:itemID="{B9B541AE-5D0B-48CE-BBE8-BF5AE648445D}">
  <ds:schemaRefs>
    <ds:schemaRef ds:uri="http://schemas.microsoft.com/sharepoint/v3/contenttype/forms"/>
  </ds:schemaRefs>
</ds:datastoreItem>
</file>

<file path=customXml/itemProps4.xml><?xml version="1.0" encoding="utf-8"?>
<ds:datastoreItem xmlns:ds="http://schemas.openxmlformats.org/officeDocument/2006/customXml" ds:itemID="{95E6715B-DC82-4434-AD31-DB08B90987A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vt:lpstr>
      <vt:lpstr>2.1 SST-Kennzahlen 5 Jahre</vt:lpstr>
      <vt:lpstr>2.1 Komponenten SST-Quotient</vt:lpstr>
      <vt:lpstr>5.1 Übersicht RTK</vt:lpstr>
      <vt:lpstr>5.4 Bilanz-Überleitung</vt:lpstr>
      <vt:lpstr>6.1 Übersicht ZK</vt:lpstr>
      <vt:lpstr>6.6 u 6.7 Erw. Erg</vt:lpstr>
      <vt:lpstr>Glossary</vt:lpstr>
      <vt:lpstr>Glossary</vt:lpstr>
      <vt:lpstr>Jahr</vt:lpstr>
      <vt:lpstr>Sprache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2025-01-23T07:52:36Z</dcterms:created>
  <dcterms:modified xsi:type="dcterms:W3CDTF">2025-01-27T07:34:22Z</dcterms:modified>
  <cp:category/>
  <dc:identifier/>
  <cp:contentStatus/>
  <dc:language/>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pic">
    <vt:lpwstr>12;#Aufsichtsabgabe|1bb1ff23-244b-430d-b77e-6c87f49b07f4</vt:lpwstr>
  </property>
  <property fmtid="{D5CDD505-2E9C-101B-9397-08002B2CF9AE}" pid="3" name="ContentTypeId">
    <vt:lpwstr>0x0101003951D1F36BC944E987AD610ADE6A10C3002366F3BBC8CE234B84695397A2A93407</vt:lpwstr>
  </property>
  <property fmtid="{D5CDD505-2E9C-101B-9397-08002B2CF9AE}" pid="4" name="OSP">
    <vt:lpwstr>13;#4-02.9 Verschiedenes|b7add63a-7a8a-4b8a-bfff-6c9ce2cbce07</vt:lpwstr>
  </property>
  <property fmtid="{D5CDD505-2E9C-101B-9397-08002B2CF9AE}" pid="5" name="OU">
    <vt:lpwstr>2;#GB-V|f8d7b412-2487-4e9a-b58d-c7490dedd0c5</vt:lpwstr>
  </property>
  <property fmtid="{D5CDD505-2E9C-101B-9397-08002B2CF9AE}" pid="6" name="_dlc_DocIdItemGuid">
    <vt:lpwstr>f31d6c0d-5116-47ca-86dd-d47c7b750786</vt:lpwstr>
  </property>
  <property fmtid="{D5CDD505-2E9C-101B-9397-08002B2CF9AE}" pid="7" name="DossierStatus_Note">
    <vt:lpwstr/>
  </property>
</Properties>
</file>