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8_{AAF8E9C0-9CE1-46BF-B2F9-095E6D20CE26}" xr6:coauthVersionLast="47" xr6:coauthVersionMax="47" xr10:uidLastSave="{00000000-0000-0000-0000-000000000000}"/>
  <bookViews>
    <workbookView xWindow="-120" yWindow="-120" windowWidth="29040" windowHeight="15840" xr2:uid="{0B8B123F-80AA-4D8D-8C49-E898E299BB53}"/>
  </bookViews>
  <sheets>
    <sheet name="Intro_SM_UVG_Valuation" sheetId="2" r:id="rId1"/>
    <sheet name="Update" sheetId="10" r:id="rId2"/>
    <sheet name="Inputparam" sheetId="3" r:id="rId3"/>
    <sheet name="UVG_Input_Data" sheetId="1" r:id="rId4"/>
    <sheet name="UVG_Calculations" sheetId="4" r:id="rId5"/>
    <sheet name="UVG_Output" sheetId="5" r:id="rId6"/>
    <sheet name="Glossary" sheetId="7" r:id="rId7"/>
    <sheet name="Configuration" sheetId="9" r:id="rId8"/>
  </sheets>
  <externalReferences>
    <externalReference r:id="rId9"/>
    <externalReference r:id="rId10"/>
    <externalReference r:id="rId11"/>
    <externalReference r:id="rId12"/>
  </externalReferences>
  <definedNames>
    <definedName name="_down" localSheetId="7">[1]Glossary!$B$24</definedName>
    <definedName name="_down">Glossary!$B$24</definedName>
    <definedName name="_end" localSheetId="7">[1]Glossary!$B$109</definedName>
    <definedName name="_end">Glossary!$B$109</definedName>
    <definedName name="_LongTerm" localSheetId="7">[1]Glossary!$B$27</definedName>
    <definedName name="_LongTerm">Glossary!$B$27</definedName>
    <definedName name="_maturity" localSheetId="7">[1]Glossary!$B$22</definedName>
    <definedName name="_maturity">Glossary!$B$22</definedName>
    <definedName name="_middleTerm" localSheetId="7">[1]Glossary!$B$26</definedName>
    <definedName name="_middleTerm">Glossary!$B$26</definedName>
    <definedName name="_million">Glossary!$B$5</definedName>
    <definedName name="_million1" localSheetId="7">[1]Glossary!$B$6</definedName>
    <definedName name="_million1">Glossary!$B$6</definedName>
    <definedName name="_neurente" localSheetId="7">[1]Glossary!$B$49</definedName>
    <definedName name="_neurente">Glossary!$B$49</definedName>
    <definedName name="_number">[4]Glossary!$C$49</definedName>
    <definedName name="_Res_in" localSheetId="7">[2]Glossary!$C$160</definedName>
    <definedName name="_Res_in">[3]Glossary!$C$160</definedName>
    <definedName name="_sheet">[4]Glossary!$C$48</definedName>
    <definedName name="_shortTerm" localSheetId="7">[1]Glossary!$B$25</definedName>
    <definedName name="_shortTerm">Glossary!$B$25</definedName>
    <definedName name="_start" localSheetId="7">[1]Glossary!$B$108</definedName>
    <definedName name="_start">Glossary!$B$108</definedName>
    <definedName name="_up" localSheetId="7">[1]Glossary!$B$23</definedName>
    <definedName name="_up">Glossary!$B$23</definedName>
    <definedName name="current_year" localSheetId="7">[1]Intro_SM_UVG_Valuation!$E$1</definedName>
    <definedName name="current_year">Intro_SM_UVG_Valuation!$E$1</definedName>
    <definedName name="Language" localSheetId="7">[1]Intro_SM_UVG_Valuation!$E$6</definedName>
    <definedName name="Language">Intro_SM_UVG_Valuation!$E$6</definedName>
    <definedName name="name_of_insurer">Intro_SM_UVG_Valuation!$E$8</definedName>
    <definedName name="Translation" localSheetId="7">[1]Glossary!$C:$F</definedName>
    <definedName name="Translation">Glossary!$C:$F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0" l="1"/>
  <c r="E4" i="10"/>
  <c r="D4" i="10"/>
  <c r="C4" i="10"/>
  <c r="B1" i="10"/>
  <c r="C12" i="3"/>
  <c r="E60" i="7"/>
  <c r="C55" i="4" l="1"/>
  <c r="B53" i="4"/>
  <c r="F12" i="1"/>
  <c r="F60" i="7"/>
  <c r="F64" i="7"/>
  <c r="E64" i="7"/>
  <c r="D60" i="7"/>
  <c r="D64" i="7"/>
  <c r="F61" i="7"/>
  <c r="D61" i="7"/>
  <c r="C57" i="4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AE57" i="4"/>
  <c r="AF57" i="4"/>
  <c r="AG57" i="4"/>
  <c r="AH57" i="4"/>
  <c r="AI57" i="4"/>
  <c r="AJ57" i="4"/>
  <c r="AK57" i="4"/>
  <c r="AL57" i="4"/>
  <c r="AM57" i="4"/>
  <c r="AN57" i="4"/>
  <c r="AO57" i="4"/>
  <c r="AP57" i="4"/>
  <c r="AQ57" i="4"/>
  <c r="AR57" i="4"/>
  <c r="AS57" i="4"/>
  <c r="AT57" i="4"/>
  <c r="AU57" i="4"/>
  <c r="AV57" i="4"/>
  <c r="AW57" i="4"/>
  <c r="AX57" i="4"/>
  <c r="AY57" i="4"/>
  <c r="AZ57" i="4"/>
  <c r="AZ58" i="4"/>
  <c r="AZ59" i="4"/>
  <c r="AZ60" i="4"/>
  <c r="AZ61" i="4"/>
  <c r="AZ62" i="4"/>
  <c r="AZ63" i="4"/>
  <c r="AZ64" i="4"/>
  <c r="AZ65" i="4"/>
  <c r="AZ66" i="4"/>
  <c r="AZ67" i="4"/>
  <c r="AZ68" i="4"/>
  <c r="AZ69" i="4"/>
  <c r="AZ70" i="4"/>
  <c r="AZ71" i="4"/>
  <c r="AZ72" i="4"/>
  <c r="AZ73" i="4"/>
  <c r="AZ74" i="4"/>
  <c r="AZ75" i="4"/>
  <c r="AZ76" i="4"/>
  <c r="AZ77" i="4"/>
  <c r="AZ78" i="4"/>
  <c r="D13" i="1"/>
  <c r="D38" i="4"/>
  <c r="E38" i="4"/>
  <c r="F38" i="4"/>
  <c r="G38" i="4"/>
  <c r="C38" i="4"/>
  <c r="E15" i="4" l="1"/>
  <c r="C49" i="4" l="1"/>
  <c r="D15" i="4" l="1"/>
  <c r="B15" i="4"/>
  <c r="B14" i="4"/>
  <c r="B13" i="4"/>
  <c r="D75" i="7"/>
  <c r="C15" i="4" l="1"/>
  <c r="B16" i="4"/>
  <c r="E11" i="4"/>
  <c r="B11" i="4"/>
  <c r="B15" i="1"/>
  <c r="B28" i="3"/>
  <c r="C25" i="4" l="1"/>
  <c r="C31" i="4" s="1"/>
  <c r="F90" i="7" l="1"/>
  <c r="F89" i="7"/>
  <c r="F39" i="7"/>
  <c r="B16" i="3" l="1"/>
  <c r="B14" i="3"/>
  <c r="B109" i="7" l="1"/>
  <c r="B108" i="7"/>
  <c r="B50" i="4"/>
  <c r="B45" i="4"/>
  <c r="B42" i="4"/>
  <c r="B21" i="4"/>
  <c r="B40" i="4"/>
  <c r="B39" i="4"/>
  <c r="B27" i="5" s="1"/>
  <c r="B38" i="4"/>
  <c r="B36" i="4"/>
  <c r="B35" i="4"/>
  <c r="B34" i="4"/>
  <c r="B33" i="4"/>
  <c r="B31" i="4"/>
  <c r="B47" i="4"/>
  <c r="B46" i="4"/>
  <c r="B30" i="4"/>
  <c r="B27" i="4"/>
  <c r="D89" i="7"/>
  <c r="B28" i="4" s="1"/>
  <c r="D90" i="7"/>
  <c r="B29" i="4" s="1"/>
  <c r="B18" i="4"/>
  <c r="F87" i="7"/>
  <c r="D87" i="7"/>
  <c r="B25" i="4" s="1"/>
  <c r="F86" i="7"/>
  <c r="D86" i="7"/>
  <c r="B24" i="4" s="1"/>
  <c r="C22" i="4" l="1"/>
  <c r="B49" i="4"/>
  <c r="B48" i="4"/>
  <c r="B17" i="4"/>
  <c r="B12" i="4"/>
  <c r="B10" i="4"/>
  <c r="B26" i="1"/>
  <c r="B9" i="4"/>
  <c r="B25" i="1"/>
  <c r="B8" i="4"/>
  <c r="B10" i="1"/>
  <c r="D7" i="4"/>
  <c r="B7" i="4"/>
  <c r="B7" i="1"/>
  <c r="B1" i="4"/>
  <c r="B3" i="4"/>
  <c r="B3" i="1"/>
  <c r="B1" i="1"/>
  <c r="B49" i="7"/>
  <c r="B41" i="1" s="1"/>
  <c r="C65" i="1"/>
  <c r="C37" i="1"/>
  <c r="B67" i="1"/>
  <c r="B29" i="1"/>
  <c r="B16" i="1"/>
  <c r="B37" i="1"/>
  <c r="B27" i="1"/>
  <c r="B23" i="1"/>
  <c r="C21" i="1"/>
  <c r="B19" i="1"/>
  <c r="B56" i="1" l="1"/>
  <c r="B48" i="1"/>
  <c r="B55" i="1"/>
  <c r="B47" i="1"/>
  <c r="B54" i="1"/>
  <c r="B46" i="1"/>
  <c r="B40" i="1"/>
  <c r="B53" i="1"/>
  <c r="B45" i="1"/>
  <c r="B60" i="1"/>
  <c r="B52" i="1"/>
  <c r="B44" i="1"/>
  <c r="B59" i="1"/>
  <c r="B51" i="1"/>
  <c r="B43" i="1"/>
  <c r="B58" i="1"/>
  <c r="B50" i="1"/>
  <c r="B42" i="1"/>
  <c r="B57" i="1"/>
  <c r="B49" i="1"/>
  <c r="B6" i="7"/>
  <c r="E61" i="7" s="1"/>
  <c r="B9" i="1"/>
  <c r="B17" i="1"/>
  <c r="B14" i="1"/>
  <c r="B13" i="1"/>
  <c r="B12" i="1"/>
  <c r="B11" i="1"/>
  <c r="B1" i="3"/>
  <c r="E73" i="7" l="1"/>
  <c r="E79" i="7"/>
  <c r="E65" i="7"/>
  <c r="E66" i="7"/>
  <c r="B33" i="1" s="1"/>
  <c r="F79" i="7"/>
  <c r="D79" i="7"/>
  <c r="B5" i="4" s="1"/>
  <c r="E63" i="7"/>
  <c r="F65" i="7"/>
  <c r="D65" i="7"/>
  <c r="D63" i="7"/>
  <c r="F63" i="7"/>
  <c r="D42" i="3"/>
  <c r="C42" i="3"/>
  <c r="B42" i="3"/>
  <c r="B40" i="3"/>
  <c r="B38" i="3"/>
  <c r="B34" i="3"/>
  <c r="B33" i="3"/>
  <c r="B30" i="3"/>
  <c r="B27" i="3"/>
  <c r="B22" i="3"/>
  <c r="B17" i="3"/>
  <c r="B9" i="3"/>
  <c r="B1" i="2"/>
  <c r="B23" i="2"/>
  <c r="B20" i="2"/>
  <c r="B19" i="2"/>
  <c r="B17" i="2"/>
  <c r="B16" i="2"/>
  <c r="B10" i="2"/>
  <c r="B8" i="2"/>
  <c r="C23" i="2"/>
  <c r="C21" i="2"/>
  <c r="C20" i="2"/>
  <c r="C19" i="2"/>
  <c r="B63" i="1"/>
  <c r="B35" i="1"/>
  <c r="B5" i="1" l="1"/>
  <c r="B31" i="1"/>
  <c r="C3" i="1"/>
  <c r="C3" i="4"/>
  <c r="D32" i="7"/>
  <c r="D28" i="7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C22" i="1"/>
  <c r="C39" i="1"/>
  <c r="C66" i="1" s="1"/>
  <c r="D82" i="7"/>
  <c r="E7" i="4" s="1"/>
  <c r="D81" i="7"/>
  <c r="C7" i="4" s="1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AH25" i="4"/>
  <c r="AI25" i="4"/>
  <c r="AJ25" i="4"/>
  <c r="AK25" i="4"/>
  <c r="AL25" i="4"/>
  <c r="AM25" i="4"/>
  <c r="AN25" i="4"/>
  <c r="AO25" i="4"/>
  <c r="AP25" i="4"/>
  <c r="AQ25" i="4"/>
  <c r="AR25" i="4"/>
  <c r="AS25" i="4"/>
  <c r="AT25" i="4"/>
  <c r="AU25" i="4"/>
  <c r="AV25" i="4"/>
  <c r="AW25" i="4"/>
  <c r="AX25" i="4"/>
  <c r="AY25" i="4"/>
  <c r="AZ25" i="4"/>
  <c r="D70" i="7"/>
  <c r="F69" i="7"/>
  <c r="D69" i="7"/>
  <c r="C7" i="1" s="1"/>
  <c r="B19" i="3" l="1"/>
  <c r="D7" i="1"/>
  <c r="C44" i="4"/>
  <c r="C43" i="4" s="1"/>
  <c r="D39" i="1"/>
  <c r="D66" i="1" s="1"/>
  <c r="E39" i="1"/>
  <c r="E66" i="1" s="1"/>
  <c r="F39" i="1"/>
  <c r="F66" i="1" s="1"/>
  <c r="G39" i="1"/>
  <c r="G66" i="1" s="1"/>
  <c r="H39" i="1"/>
  <c r="H66" i="1" s="1"/>
  <c r="I39" i="1"/>
  <c r="I66" i="1" s="1"/>
  <c r="J39" i="1"/>
  <c r="J66" i="1" s="1"/>
  <c r="K39" i="1"/>
  <c r="K66" i="1" s="1"/>
  <c r="L39" i="1"/>
  <c r="L66" i="1" s="1"/>
  <c r="M39" i="1"/>
  <c r="M66" i="1" s="1"/>
  <c r="N39" i="1"/>
  <c r="N66" i="1" s="1"/>
  <c r="O39" i="1"/>
  <c r="O66" i="1" s="1"/>
  <c r="P39" i="1"/>
  <c r="P66" i="1" s="1"/>
  <c r="Q39" i="1"/>
  <c r="Q66" i="1" s="1"/>
  <c r="R39" i="1"/>
  <c r="R66" i="1" s="1"/>
  <c r="S39" i="1"/>
  <c r="S66" i="1" s="1"/>
  <c r="T39" i="1"/>
  <c r="T66" i="1" s="1"/>
  <c r="U39" i="1"/>
  <c r="U66" i="1" s="1"/>
  <c r="V39" i="1"/>
  <c r="V66" i="1" s="1"/>
  <c r="W39" i="1"/>
  <c r="W66" i="1" s="1"/>
  <c r="X39" i="1"/>
  <c r="X66" i="1" s="1"/>
  <c r="Y39" i="1"/>
  <c r="Y66" i="1" s="1"/>
  <c r="Z39" i="1"/>
  <c r="Z66" i="1" s="1"/>
  <c r="AA39" i="1"/>
  <c r="AA66" i="1" s="1"/>
  <c r="AB39" i="1"/>
  <c r="AB66" i="1" s="1"/>
  <c r="AC39" i="1"/>
  <c r="AC66" i="1" s="1"/>
  <c r="AD39" i="1"/>
  <c r="AD66" i="1" s="1"/>
  <c r="AE39" i="1"/>
  <c r="AE66" i="1" s="1"/>
  <c r="AF39" i="1"/>
  <c r="AF66" i="1" s="1"/>
  <c r="AG39" i="1"/>
  <c r="AG66" i="1" s="1"/>
  <c r="AH39" i="1"/>
  <c r="AH66" i="1" s="1"/>
  <c r="AI39" i="1"/>
  <c r="AI66" i="1" s="1"/>
  <c r="AJ39" i="1"/>
  <c r="AJ66" i="1" s="1"/>
  <c r="AK39" i="1"/>
  <c r="AK66" i="1" s="1"/>
  <c r="AL39" i="1"/>
  <c r="AL66" i="1" s="1"/>
  <c r="AM39" i="1"/>
  <c r="AM66" i="1" s="1"/>
  <c r="AN39" i="1"/>
  <c r="AN66" i="1" s="1"/>
  <c r="AO39" i="1"/>
  <c r="AO66" i="1" s="1"/>
  <c r="AP39" i="1"/>
  <c r="AP66" i="1" s="1"/>
  <c r="AQ39" i="1"/>
  <c r="AQ66" i="1" s="1"/>
  <c r="AR39" i="1"/>
  <c r="AR66" i="1" s="1"/>
  <c r="AS39" i="1"/>
  <c r="AS66" i="1" s="1"/>
  <c r="AT39" i="1"/>
  <c r="AT66" i="1" s="1"/>
  <c r="AU39" i="1"/>
  <c r="AU66" i="1" s="1"/>
  <c r="AV39" i="1"/>
  <c r="AV66" i="1" s="1"/>
  <c r="AW39" i="1"/>
  <c r="AW66" i="1" s="1"/>
  <c r="AX39" i="1"/>
  <c r="AX66" i="1" s="1"/>
  <c r="AY39" i="1"/>
  <c r="AY66" i="1" s="1"/>
  <c r="AZ39" i="1"/>
  <c r="AZ66" i="1" s="1"/>
  <c r="D39" i="7"/>
  <c r="B25" i="7"/>
  <c r="B26" i="7"/>
  <c r="B27" i="7"/>
  <c r="F34" i="7"/>
  <c r="E34" i="7"/>
  <c r="D34" i="7"/>
  <c r="F32" i="7"/>
  <c r="E28" i="7"/>
  <c r="B4" i="3" s="1"/>
  <c r="B22" i="7"/>
  <c r="B51" i="3" l="1"/>
  <c r="B48" i="3"/>
  <c r="B11" i="3"/>
  <c r="B45" i="3"/>
  <c r="B36" i="3"/>
  <c r="B24" i="3"/>
  <c r="B44" i="3"/>
  <c r="B50" i="3"/>
  <c r="B47" i="3"/>
  <c r="B32" i="3"/>
  <c r="B6" i="3" a="1"/>
  <c r="B6" i="3" s="1"/>
  <c r="B21" i="3"/>
  <c r="B26" i="3"/>
  <c r="B24" i="7"/>
  <c r="B23" i="7"/>
  <c r="F28" i="7"/>
  <c r="B5" i="7"/>
  <c r="C16" i="3"/>
  <c r="D48" i="4" l="1"/>
  <c r="L48" i="4"/>
  <c r="T48" i="4"/>
  <c r="AB48" i="4"/>
  <c r="AJ48" i="4"/>
  <c r="AR48" i="4"/>
  <c r="AZ48" i="4"/>
  <c r="AN48" i="4"/>
  <c r="AG48" i="4"/>
  <c r="R48" i="4"/>
  <c r="AX48" i="4"/>
  <c r="S48" i="4"/>
  <c r="E48" i="4"/>
  <c r="M48" i="4"/>
  <c r="U48" i="4"/>
  <c r="AC48" i="4"/>
  <c r="AK48" i="4"/>
  <c r="AS48" i="4"/>
  <c r="C48" i="4"/>
  <c r="C35" i="4" s="1"/>
  <c r="AV48" i="4"/>
  <c r="I48" i="4"/>
  <c r="Z48" i="4"/>
  <c r="AA48" i="4"/>
  <c r="AY48" i="4"/>
  <c r="F48" i="4"/>
  <c r="N48" i="4"/>
  <c r="V48" i="4"/>
  <c r="AD48" i="4"/>
  <c r="AL48" i="4"/>
  <c r="AT48" i="4"/>
  <c r="Y48" i="4"/>
  <c r="AW48" i="4"/>
  <c r="J48" i="4"/>
  <c r="AP48" i="4"/>
  <c r="K48" i="4"/>
  <c r="G48" i="4"/>
  <c r="O48" i="4"/>
  <c r="W48" i="4"/>
  <c r="AE48" i="4"/>
  <c r="AM48" i="4"/>
  <c r="AU48" i="4"/>
  <c r="H48" i="4"/>
  <c r="P48" i="4"/>
  <c r="X48" i="4"/>
  <c r="AF48" i="4"/>
  <c r="Q48" i="4"/>
  <c r="AO48" i="4"/>
  <c r="AH48" i="4"/>
  <c r="AI48" i="4"/>
  <c r="AQ48" i="4"/>
  <c r="C51" i="3"/>
  <c r="C45" i="3"/>
  <c r="C48" i="3"/>
  <c r="C50" i="3"/>
  <c r="C47" i="3"/>
  <c r="C44" i="3"/>
  <c r="E9" i="4" l="1"/>
  <c r="E10" i="4"/>
  <c r="E8" i="4"/>
  <c r="D16" i="3" l="1"/>
  <c r="E16" i="3" s="1"/>
  <c r="F16" i="3" s="1"/>
  <c r="G16" i="3" s="1"/>
  <c r="H16" i="3" s="1"/>
  <c r="I16" i="3" s="1"/>
  <c r="J16" i="3" s="1"/>
  <c r="K16" i="3" s="1"/>
  <c r="L16" i="3" s="1"/>
  <c r="C16" i="5"/>
  <c r="D16" i="5" s="1"/>
  <c r="E16" i="5" s="1"/>
  <c r="F16" i="5" s="1"/>
  <c r="G16" i="5" s="1"/>
  <c r="H16" i="5" s="1"/>
  <c r="I16" i="5" s="1"/>
  <c r="J16" i="5" s="1"/>
  <c r="K16" i="5" s="1"/>
  <c r="L16" i="5" s="1"/>
  <c r="M16" i="5" s="1"/>
  <c r="N16" i="5" s="1"/>
  <c r="O16" i="5" s="1"/>
  <c r="P16" i="5" s="1"/>
  <c r="Q16" i="5" s="1"/>
  <c r="R16" i="5" s="1"/>
  <c r="S16" i="5" s="1"/>
  <c r="T16" i="5" s="1"/>
  <c r="U16" i="5" s="1"/>
  <c r="V16" i="5" s="1"/>
  <c r="W16" i="5" s="1"/>
  <c r="X16" i="5" s="1"/>
  <c r="Y16" i="5" s="1"/>
  <c r="Z16" i="5" s="1"/>
  <c r="AA16" i="5" s="1"/>
  <c r="AB16" i="5" s="1"/>
  <c r="AC16" i="5" s="1"/>
  <c r="AD16" i="5" s="1"/>
  <c r="AE16" i="5" s="1"/>
  <c r="AF16" i="5" s="1"/>
  <c r="AG16" i="5" s="1"/>
  <c r="AH16" i="5" s="1"/>
  <c r="AI16" i="5" s="1"/>
  <c r="AJ16" i="5" s="1"/>
  <c r="AK16" i="5" s="1"/>
  <c r="AL16" i="5" s="1"/>
  <c r="AM16" i="5" s="1"/>
  <c r="AN16" i="5" s="1"/>
  <c r="AO16" i="5" s="1"/>
  <c r="AP16" i="5" s="1"/>
  <c r="AQ16" i="5" s="1"/>
  <c r="AR16" i="5" s="1"/>
  <c r="AS16" i="5" s="1"/>
  <c r="AT16" i="5" s="1"/>
  <c r="AU16" i="5" s="1"/>
  <c r="AV16" i="5" s="1"/>
  <c r="AW16" i="5" s="1"/>
  <c r="AX16" i="5" s="1"/>
  <c r="AY16" i="5" s="1"/>
  <c r="AZ16" i="5" s="1"/>
  <c r="C50" i="4"/>
  <c r="C36" i="4" s="1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AG49" i="4"/>
  <c r="AH49" i="4"/>
  <c r="AI49" i="4"/>
  <c r="AJ49" i="4"/>
  <c r="AK49" i="4"/>
  <c r="AL49" i="4"/>
  <c r="AM49" i="4"/>
  <c r="AN49" i="4"/>
  <c r="AO49" i="4"/>
  <c r="AP49" i="4"/>
  <c r="AQ49" i="4"/>
  <c r="AR49" i="4"/>
  <c r="AS49" i="4"/>
  <c r="AT49" i="4"/>
  <c r="AU49" i="4"/>
  <c r="AV49" i="4"/>
  <c r="AW49" i="4"/>
  <c r="AX49" i="4"/>
  <c r="AY49" i="4"/>
  <c r="AZ49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L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AZ28" i="4"/>
  <c r="C28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C24" i="4"/>
  <c r="C30" i="4" s="1"/>
  <c r="D23" i="4"/>
  <c r="D31" i="4" s="1"/>
  <c r="C34" i="3"/>
  <c r="D32" i="3"/>
  <c r="E32" i="3" s="1"/>
  <c r="F32" i="3" s="1"/>
  <c r="G32" i="3" s="1"/>
  <c r="H32" i="3" s="1"/>
  <c r="I32" i="3" s="1"/>
  <c r="J32" i="3" s="1"/>
  <c r="K32" i="3" s="1"/>
  <c r="L32" i="3" s="1"/>
  <c r="M32" i="3" s="1"/>
  <c r="N32" i="3" s="1"/>
  <c r="O32" i="3" s="1"/>
  <c r="P32" i="3" s="1"/>
  <c r="Q32" i="3" s="1"/>
  <c r="R32" i="3" s="1"/>
  <c r="S32" i="3" s="1"/>
  <c r="T32" i="3" s="1"/>
  <c r="U32" i="3" s="1"/>
  <c r="V32" i="3" s="1"/>
  <c r="W32" i="3" s="1"/>
  <c r="X32" i="3" s="1"/>
  <c r="Y32" i="3" s="1"/>
  <c r="Z32" i="3" s="1"/>
  <c r="AA32" i="3" s="1"/>
  <c r="AB32" i="3" s="1"/>
  <c r="AC32" i="3" s="1"/>
  <c r="AD32" i="3" s="1"/>
  <c r="AE32" i="3" s="1"/>
  <c r="AF32" i="3" s="1"/>
  <c r="AG32" i="3" s="1"/>
  <c r="AH32" i="3" s="1"/>
  <c r="AI32" i="3" s="1"/>
  <c r="AJ32" i="3" s="1"/>
  <c r="AK32" i="3" s="1"/>
  <c r="AL32" i="3" s="1"/>
  <c r="AM32" i="3" s="1"/>
  <c r="AN32" i="3" s="1"/>
  <c r="AO32" i="3" s="1"/>
  <c r="AP32" i="3" s="1"/>
  <c r="AQ32" i="3" s="1"/>
  <c r="AR32" i="3" s="1"/>
  <c r="AS32" i="3" s="1"/>
  <c r="AT32" i="3" s="1"/>
  <c r="AU32" i="3" s="1"/>
  <c r="AV32" i="3" s="1"/>
  <c r="AW32" i="3" s="1"/>
  <c r="AX32" i="3" s="1"/>
  <c r="AY32" i="3" s="1"/>
  <c r="AZ32" i="3" s="1"/>
  <c r="AZ34" i="3" s="1"/>
  <c r="D26" i="3"/>
  <c r="E26" i="3" s="1"/>
  <c r="F26" i="3" s="1"/>
  <c r="G26" i="3" s="1"/>
  <c r="H26" i="3" s="1"/>
  <c r="I26" i="3" s="1"/>
  <c r="J26" i="3" s="1"/>
  <c r="K26" i="3" s="1"/>
  <c r="L26" i="3" s="1"/>
  <c r="M26" i="3" s="1"/>
  <c r="N26" i="3" s="1"/>
  <c r="O26" i="3" s="1"/>
  <c r="P26" i="3" s="1"/>
  <c r="Q26" i="3" s="1"/>
  <c r="R26" i="3" s="1"/>
  <c r="S26" i="3" s="1"/>
  <c r="T26" i="3" s="1"/>
  <c r="U26" i="3" s="1"/>
  <c r="V26" i="3" s="1"/>
  <c r="W26" i="3" s="1"/>
  <c r="X26" i="3" s="1"/>
  <c r="Y26" i="3" s="1"/>
  <c r="Z26" i="3" s="1"/>
  <c r="AA26" i="3" s="1"/>
  <c r="AB26" i="3" s="1"/>
  <c r="AC26" i="3" s="1"/>
  <c r="AD26" i="3" s="1"/>
  <c r="AE26" i="3" s="1"/>
  <c r="AF26" i="3" s="1"/>
  <c r="AG26" i="3" s="1"/>
  <c r="AH26" i="3" s="1"/>
  <c r="AI26" i="3" s="1"/>
  <c r="AJ26" i="3" s="1"/>
  <c r="AK26" i="3" s="1"/>
  <c r="AL26" i="3" s="1"/>
  <c r="AM26" i="3" s="1"/>
  <c r="AN26" i="3" s="1"/>
  <c r="AO26" i="3" s="1"/>
  <c r="AP26" i="3" s="1"/>
  <c r="AQ26" i="3" s="1"/>
  <c r="AR26" i="3" s="1"/>
  <c r="AS26" i="3" s="1"/>
  <c r="AT26" i="3" s="1"/>
  <c r="AU26" i="3" s="1"/>
  <c r="AV26" i="3" s="1"/>
  <c r="AW26" i="3" s="1"/>
  <c r="AX26" i="3" s="1"/>
  <c r="AY26" i="3" s="1"/>
  <c r="AZ26" i="3" s="1"/>
  <c r="D21" i="3"/>
  <c r="E21" i="3" s="1"/>
  <c r="D11" i="3"/>
  <c r="D30" i="4" l="1"/>
  <c r="F58" i="4"/>
  <c r="N58" i="4"/>
  <c r="V58" i="4"/>
  <c r="AD58" i="4"/>
  <c r="AL58" i="4"/>
  <c r="AT58" i="4"/>
  <c r="E59" i="4"/>
  <c r="M59" i="4"/>
  <c r="U59" i="4"/>
  <c r="AC59" i="4"/>
  <c r="AK59" i="4"/>
  <c r="AS59" i="4"/>
  <c r="E60" i="4"/>
  <c r="M60" i="4"/>
  <c r="U60" i="4"/>
  <c r="AC60" i="4"/>
  <c r="AK60" i="4"/>
  <c r="AS60" i="4"/>
  <c r="F61" i="4"/>
  <c r="N61" i="4"/>
  <c r="V61" i="4"/>
  <c r="AD61" i="4"/>
  <c r="AL61" i="4"/>
  <c r="AT61" i="4"/>
  <c r="H62" i="4"/>
  <c r="P62" i="4"/>
  <c r="X62" i="4"/>
  <c r="AF62" i="4"/>
  <c r="AN62" i="4"/>
  <c r="AV62" i="4"/>
  <c r="K63" i="4"/>
  <c r="S63" i="4"/>
  <c r="AA63" i="4"/>
  <c r="AI63" i="4"/>
  <c r="AQ63" i="4"/>
  <c r="AY63" i="4"/>
  <c r="O64" i="4"/>
  <c r="W64" i="4"/>
  <c r="AE64" i="4"/>
  <c r="AM64" i="4"/>
  <c r="AU64" i="4"/>
  <c r="L65" i="4"/>
  <c r="T65" i="4"/>
  <c r="AB65" i="4"/>
  <c r="AJ65" i="4"/>
  <c r="AR65" i="4"/>
  <c r="R66" i="4"/>
  <c r="Z66" i="4"/>
  <c r="AH66" i="4"/>
  <c r="AP66" i="4"/>
  <c r="AX66" i="4"/>
  <c r="Q67" i="4"/>
  <c r="Y67" i="4"/>
  <c r="AG67" i="4"/>
  <c r="AO67" i="4"/>
  <c r="AW67" i="4"/>
  <c r="Q68" i="4"/>
  <c r="Y68" i="4"/>
  <c r="AG68" i="4"/>
  <c r="AO68" i="4"/>
  <c r="AW68" i="4"/>
  <c r="R69" i="4"/>
  <c r="Z69" i="4"/>
  <c r="AH69" i="4"/>
  <c r="AP69" i="4"/>
  <c r="AX69" i="4"/>
  <c r="T70" i="4"/>
  <c r="AB70" i="4"/>
  <c r="AJ70" i="4"/>
  <c r="AR70" i="4"/>
  <c r="W71" i="4"/>
  <c r="AE71" i="4"/>
  <c r="AM71" i="4"/>
  <c r="AU71" i="4"/>
  <c r="S72" i="4"/>
  <c r="AA72" i="4"/>
  <c r="AI72" i="4"/>
  <c r="AQ72" i="4"/>
  <c r="G58" i="4"/>
  <c r="O58" i="4"/>
  <c r="W58" i="4"/>
  <c r="AE58" i="4"/>
  <c r="AM58" i="4"/>
  <c r="AU58" i="4"/>
  <c r="F59" i="4"/>
  <c r="N59" i="4"/>
  <c r="V59" i="4"/>
  <c r="AD59" i="4"/>
  <c r="AL59" i="4"/>
  <c r="AT59" i="4"/>
  <c r="F60" i="4"/>
  <c r="N60" i="4"/>
  <c r="V60" i="4"/>
  <c r="AD60" i="4"/>
  <c r="AL60" i="4"/>
  <c r="AT60" i="4"/>
  <c r="G61" i="4"/>
  <c r="O61" i="4"/>
  <c r="W61" i="4"/>
  <c r="AE61" i="4"/>
  <c r="AM61" i="4"/>
  <c r="AU61" i="4"/>
  <c r="I62" i="4"/>
  <c r="Q62" i="4"/>
  <c r="Y62" i="4"/>
  <c r="AG62" i="4"/>
  <c r="AO62" i="4"/>
  <c r="AW62" i="4"/>
  <c r="L63" i="4"/>
  <c r="T63" i="4"/>
  <c r="AB63" i="4"/>
  <c r="AJ63" i="4"/>
  <c r="AR63" i="4"/>
  <c r="P64" i="4"/>
  <c r="X64" i="4"/>
  <c r="AF64" i="4"/>
  <c r="AN64" i="4"/>
  <c r="AV64" i="4"/>
  <c r="M65" i="4"/>
  <c r="U65" i="4"/>
  <c r="AC65" i="4"/>
  <c r="AK65" i="4"/>
  <c r="AS65" i="4"/>
  <c r="K66" i="4"/>
  <c r="S66" i="4"/>
  <c r="AA66" i="4"/>
  <c r="AI66" i="4"/>
  <c r="AQ66" i="4"/>
  <c r="AY66" i="4"/>
  <c r="R67" i="4"/>
  <c r="Z67" i="4"/>
  <c r="AH67" i="4"/>
  <c r="AP67" i="4"/>
  <c r="AX67" i="4"/>
  <c r="R68" i="4"/>
  <c r="Z68" i="4"/>
  <c r="AH68" i="4"/>
  <c r="AP68" i="4"/>
  <c r="AX68" i="4"/>
  <c r="S69" i="4"/>
  <c r="AA69" i="4"/>
  <c r="AI69" i="4"/>
  <c r="AQ69" i="4"/>
  <c r="AY69" i="4"/>
  <c r="U70" i="4"/>
  <c r="AC70" i="4"/>
  <c r="AK70" i="4"/>
  <c r="AS70" i="4"/>
  <c r="P71" i="4"/>
  <c r="X71" i="4"/>
  <c r="AF71" i="4"/>
  <c r="AN71" i="4"/>
  <c r="AV71" i="4"/>
  <c r="T72" i="4"/>
  <c r="AB72" i="4"/>
  <c r="AJ72" i="4"/>
  <c r="H58" i="4"/>
  <c r="P58" i="4"/>
  <c r="X58" i="4"/>
  <c r="AF58" i="4"/>
  <c r="AN58" i="4"/>
  <c r="AV58" i="4"/>
  <c r="G59" i="4"/>
  <c r="O59" i="4"/>
  <c r="W59" i="4"/>
  <c r="AE59" i="4"/>
  <c r="AM59" i="4"/>
  <c r="AU59" i="4"/>
  <c r="G60" i="4"/>
  <c r="O60" i="4"/>
  <c r="W60" i="4"/>
  <c r="AE60" i="4"/>
  <c r="AM60" i="4"/>
  <c r="AU60" i="4"/>
  <c r="H61" i="4"/>
  <c r="P61" i="4"/>
  <c r="X61" i="4"/>
  <c r="AF61" i="4"/>
  <c r="AN61" i="4"/>
  <c r="AV61" i="4"/>
  <c r="J62" i="4"/>
  <c r="R62" i="4"/>
  <c r="Z62" i="4"/>
  <c r="AH62" i="4"/>
  <c r="AP62" i="4"/>
  <c r="AX62" i="4"/>
  <c r="M63" i="4"/>
  <c r="U63" i="4"/>
  <c r="AC63" i="4"/>
  <c r="AK63" i="4"/>
  <c r="AS63" i="4"/>
  <c r="I64" i="4"/>
  <c r="Q64" i="4"/>
  <c r="Y64" i="4"/>
  <c r="AG64" i="4"/>
  <c r="AO64" i="4"/>
  <c r="AW64" i="4"/>
  <c r="N65" i="4"/>
  <c r="V65" i="4"/>
  <c r="AD65" i="4"/>
  <c r="AL65" i="4"/>
  <c r="AT65" i="4"/>
  <c r="L66" i="4"/>
  <c r="T66" i="4"/>
  <c r="AB66" i="4"/>
  <c r="AJ66" i="4"/>
  <c r="AR66" i="4"/>
  <c r="S67" i="4"/>
  <c r="AA67" i="4"/>
  <c r="AI67" i="4"/>
  <c r="AQ67" i="4"/>
  <c r="AY67" i="4"/>
  <c r="S68" i="4"/>
  <c r="AA68" i="4"/>
  <c r="AI68" i="4"/>
  <c r="AQ68" i="4"/>
  <c r="AY68" i="4"/>
  <c r="T69" i="4"/>
  <c r="AB69" i="4"/>
  <c r="AJ69" i="4"/>
  <c r="AR69" i="4"/>
  <c r="V70" i="4"/>
  <c r="AD70" i="4"/>
  <c r="I58" i="4"/>
  <c r="Q58" i="4"/>
  <c r="Y58" i="4"/>
  <c r="AG58" i="4"/>
  <c r="AO58" i="4"/>
  <c r="AW58" i="4"/>
  <c r="H59" i="4"/>
  <c r="P59" i="4"/>
  <c r="X59" i="4"/>
  <c r="AF59" i="4"/>
  <c r="AN59" i="4"/>
  <c r="AV59" i="4"/>
  <c r="H60" i="4"/>
  <c r="P60" i="4"/>
  <c r="X60" i="4"/>
  <c r="AF60" i="4"/>
  <c r="AN60" i="4"/>
  <c r="AV60" i="4"/>
  <c r="I61" i="4"/>
  <c r="Q61" i="4"/>
  <c r="Y61" i="4"/>
  <c r="AG61" i="4"/>
  <c r="AO61" i="4"/>
  <c r="AW61" i="4"/>
  <c r="K62" i="4"/>
  <c r="S62" i="4"/>
  <c r="AA62" i="4"/>
  <c r="AI62" i="4"/>
  <c r="AQ62" i="4"/>
  <c r="AY62" i="4"/>
  <c r="N63" i="4"/>
  <c r="V63" i="4"/>
  <c r="AD63" i="4"/>
  <c r="AL63" i="4"/>
  <c r="AT63" i="4"/>
  <c r="J64" i="4"/>
  <c r="R64" i="4"/>
  <c r="Z64" i="4"/>
  <c r="AH64" i="4"/>
  <c r="AP64" i="4"/>
  <c r="AX64" i="4"/>
  <c r="O65" i="4"/>
  <c r="W65" i="4"/>
  <c r="AE65" i="4"/>
  <c r="AM65" i="4"/>
  <c r="AU65" i="4"/>
  <c r="M66" i="4"/>
  <c r="U66" i="4"/>
  <c r="AC66" i="4"/>
  <c r="AK66" i="4"/>
  <c r="AS66" i="4"/>
  <c r="L67" i="4"/>
  <c r="T67" i="4"/>
  <c r="AB67" i="4"/>
  <c r="AJ67" i="4"/>
  <c r="AR67" i="4"/>
  <c r="T68" i="4"/>
  <c r="AB68" i="4"/>
  <c r="AJ68" i="4"/>
  <c r="AR68" i="4"/>
  <c r="U69" i="4"/>
  <c r="AC69" i="4"/>
  <c r="AK69" i="4"/>
  <c r="AS69" i="4"/>
  <c r="O70" i="4"/>
  <c r="W70" i="4"/>
  <c r="AE70" i="4"/>
  <c r="AM70" i="4"/>
  <c r="AU70" i="4"/>
  <c r="R71" i="4"/>
  <c r="Z71" i="4"/>
  <c r="AH71" i="4"/>
  <c r="AP71" i="4"/>
  <c r="AX71" i="4"/>
  <c r="V72" i="4"/>
  <c r="AD72" i="4"/>
  <c r="AL72" i="4"/>
  <c r="AT72" i="4"/>
  <c r="S73" i="4"/>
  <c r="J58" i="4"/>
  <c r="R58" i="4"/>
  <c r="Z58" i="4"/>
  <c r="AH58" i="4"/>
  <c r="AP58" i="4"/>
  <c r="AX58" i="4"/>
  <c r="I59" i="4"/>
  <c r="Q59" i="4"/>
  <c r="Y59" i="4"/>
  <c r="AG59" i="4"/>
  <c r="AO59" i="4"/>
  <c r="AW59" i="4"/>
  <c r="I60" i="4"/>
  <c r="Q60" i="4"/>
  <c r="Y60" i="4"/>
  <c r="AG60" i="4"/>
  <c r="AO60" i="4"/>
  <c r="AW60" i="4"/>
  <c r="J61" i="4"/>
  <c r="R61" i="4"/>
  <c r="Z61" i="4"/>
  <c r="AH61" i="4"/>
  <c r="AP61" i="4"/>
  <c r="AX61" i="4"/>
  <c r="L62" i="4"/>
  <c r="T62" i="4"/>
  <c r="AB62" i="4"/>
  <c r="AJ62" i="4"/>
  <c r="AR62" i="4"/>
  <c r="O63" i="4"/>
  <c r="W63" i="4"/>
  <c r="AE63" i="4"/>
  <c r="AM63" i="4"/>
  <c r="AU63" i="4"/>
  <c r="K64" i="4"/>
  <c r="S64" i="4"/>
  <c r="AA64" i="4"/>
  <c r="AI64" i="4"/>
  <c r="AQ64" i="4"/>
  <c r="AY64" i="4"/>
  <c r="P65" i="4"/>
  <c r="X65" i="4"/>
  <c r="AF65" i="4"/>
  <c r="AN65" i="4"/>
  <c r="AV65" i="4"/>
  <c r="N66" i="4"/>
  <c r="V66" i="4"/>
  <c r="AD66" i="4"/>
  <c r="AL66" i="4"/>
  <c r="AT66" i="4"/>
  <c r="M67" i="4"/>
  <c r="U67" i="4"/>
  <c r="AC67" i="4"/>
  <c r="AK67" i="4"/>
  <c r="AS67" i="4"/>
  <c r="M68" i="4"/>
  <c r="U68" i="4"/>
  <c r="AC68" i="4"/>
  <c r="AK68" i="4"/>
  <c r="AS68" i="4"/>
  <c r="N69" i="4"/>
  <c r="V69" i="4"/>
  <c r="AD69" i="4"/>
  <c r="AL69" i="4"/>
  <c r="AT69" i="4"/>
  <c r="P70" i="4"/>
  <c r="X70" i="4"/>
  <c r="AF70" i="4"/>
  <c r="AN70" i="4"/>
  <c r="AV70" i="4"/>
  <c r="S71" i="4"/>
  <c r="AA71" i="4"/>
  <c r="AI71" i="4"/>
  <c r="AQ71" i="4"/>
  <c r="AY71" i="4"/>
  <c r="W72" i="4"/>
  <c r="AE72" i="4"/>
  <c r="AM72" i="4"/>
  <c r="AU72" i="4"/>
  <c r="T73" i="4"/>
  <c r="C58" i="4"/>
  <c r="K58" i="4"/>
  <c r="S58" i="4"/>
  <c r="AA58" i="4"/>
  <c r="AI58" i="4"/>
  <c r="AQ58" i="4"/>
  <c r="AY58" i="4"/>
  <c r="J59" i="4"/>
  <c r="R59" i="4"/>
  <c r="Z59" i="4"/>
  <c r="AH59" i="4"/>
  <c r="AP59" i="4"/>
  <c r="AX59" i="4"/>
  <c r="J60" i="4"/>
  <c r="R60" i="4"/>
  <c r="Z60" i="4"/>
  <c r="AH60" i="4"/>
  <c r="AP60" i="4"/>
  <c r="AX60" i="4"/>
  <c r="K61" i="4"/>
  <c r="S61" i="4"/>
  <c r="AA61" i="4"/>
  <c r="AI61" i="4"/>
  <c r="AQ61" i="4"/>
  <c r="AY61" i="4"/>
  <c r="M62" i="4"/>
  <c r="U62" i="4"/>
  <c r="AC62" i="4"/>
  <c r="AK62" i="4"/>
  <c r="AS62" i="4"/>
  <c r="H63" i="4"/>
  <c r="P63" i="4"/>
  <c r="X63" i="4"/>
  <c r="AF63" i="4"/>
  <c r="AN63" i="4"/>
  <c r="AV63" i="4"/>
  <c r="L64" i="4"/>
  <c r="T64" i="4"/>
  <c r="AB64" i="4"/>
  <c r="AJ64" i="4"/>
  <c r="AR64" i="4"/>
  <c r="Q65" i="4"/>
  <c r="Y65" i="4"/>
  <c r="AG65" i="4"/>
  <c r="AO65" i="4"/>
  <c r="AW65" i="4"/>
  <c r="O66" i="4"/>
  <c r="W66" i="4"/>
  <c r="AE66" i="4"/>
  <c r="AM66" i="4"/>
  <c r="AU66" i="4"/>
  <c r="N67" i="4"/>
  <c r="V67" i="4"/>
  <c r="AD67" i="4"/>
  <c r="AL67" i="4"/>
  <c r="AT67" i="4"/>
  <c r="N68" i="4"/>
  <c r="V68" i="4"/>
  <c r="AD68" i="4"/>
  <c r="AL68" i="4"/>
  <c r="AT68" i="4"/>
  <c r="O69" i="4"/>
  <c r="W69" i="4"/>
  <c r="AE69" i="4"/>
  <c r="AM69" i="4"/>
  <c r="AU69" i="4"/>
  <c r="Q70" i="4"/>
  <c r="Y70" i="4"/>
  <c r="AG70" i="4"/>
  <c r="AO70" i="4"/>
  <c r="AW70" i="4"/>
  <c r="T71" i="4"/>
  <c r="AB71" i="4"/>
  <c r="AJ71" i="4"/>
  <c r="AR71" i="4"/>
  <c r="X72" i="4"/>
  <c r="AF72" i="4"/>
  <c r="AN72" i="4"/>
  <c r="AV72" i="4"/>
  <c r="U73" i="4"/>
  <c r="AC73" i="4"/>
  <c r="AK73" i="4"/>
  <c r="AS73" i="4"/>
  <c r="S74" i="4"/>
  <c r="AA74" i="4"/>
  <c r="D58" i="4"/>
  <c r="L58" i="4"/>
  <c r="T58" i="4"/>
  <c r="AB58" i="4"/>
  <c r="AJ58" i="4"/>
  <c r="AR58" i="4"/>
  <c r="K59" i="4"/>
  <c r="S59" i="4"/>
  <c r="AA59" i="4"/>
  <c r="AI59" i="4"/>
  <c r="AQ59" i="4"/>
  <c r="AY59" i="4"/>
  <c r="K60" i="4"/>
  <c r="S60" i="4"/>
  <c r="AA60" i="4"/>
  <c r="AI60" i="4"/>
  <c r="AQ60" i="4"/>
  <c r="AY60" i="4"/>
  <c r="L61" i="4"/>
  <c r="T61" i="4"/>
  <c r="AB61" i="4"/>
  <c r="AJ61" i="4"/>
  <c r="AR61" i="4"/>
  <c r="N62" i="4"/>
  <c r="V62" i="4"/>
  <c r="AD62" i="4"/>
  <c r="AL62" i="4"/>
  <c r="AT62" i="4"/>
  <c r="I63" i="4"/>
  <c r="Q63" i="4"/>
  <c r="Y63" i="4"/>
  <c r="AG63" i="4"/>
  <c r="AO63" i="4"/>
  <c r="AW63" i="4"/>
  <c r="M64" i="4"/>
  <c r="U64" i="4"/>
  <c r="AC64" i="4"/>
  <c r="AK64" i="4"/>
  <c r="AS64" i="4"/>
  <c r="J65" i="4"/>
  <c r="R65" i="4"/>
  <c r="Z65" i="4"/>
  <c r="AH65" i="4"/>
  <c r="AP65" i="4"/>
  <c r="AX65" i="4"/>
  <c r="P66" i="4"/>
  <c r="X66" i="4"/>
  <c r="AF66" i="4"/>
  <c r="AN66" i="4"/>
  <c r="AV66" i="4"/>
  <c r="O67" i="4"/>
  <c r="W67" i="4"/>
  <c r="AE67" i="4"/>
  <c r="AM67" i="4"/>
  <c r="AU67" i="4"/>
  <c r="O68" i="4"/>
  <c r="W68" i="4"/>
  <c r="AE68" i="4"/>
  <c r="AM68" i="4"/>
  <c r="AU68" i="4"/>
  <c r="P69" i="4"/>
  <c r="X69" i="4"/>
  <c r="AF69" i="4"/>
  <c r="AN69" i="4"/>
  <c r="AV69" i="4"/>
  <c r="R70" i="4"/>
  <c r="Z70" i="4"/>
  <c r="AH70" i="4"/>
  <c r="AP70" i="4"/>
  <c r="AX70" i="4"/>
  <c r="U71" i="4"/>
  <c r="AC71" i="4"/>
  <c r="AK71" i="4"/>
  <c r="AS71" i="4"/>
  <c r="Q72" i="4"/>
  <c r="Y72" i="4"/>
  <c r="AG72" i="4"/>
  <c r="AO72" i="4"/>
  <c r="AK58" i="4"/>
  <c r="AR59" i="4"/>
  <c r="M61" i="4"/>
  <c r="W62" i="4"/>
  <c r="AH63" i="4"/>
  <c r="AT64" i="4"/>
  <c r="X67" i="4"/>
  <c r="AN68" i="4"/>
  <c r="AT71" i="4"/>
  <c r="AK72" i="4"/>
  <c r="R73" i="4"/>
  <c r="AD73" i="4"/>
  <c r="AM73" i="4"/>
  <c r="AV73" i="4"/>
  <c r="W74" i="4"/>
  <c r="AF74" i="4"/>
  <c r="AN74" i="4"/>
  <c r="AV74" i="4"/>
  <c r="W75" i="4"/>
  <c r="AE75" i="4"/>
  <c r="AM75" i="4"/>
  <c r="AU75" i="4"/>
  <c r="W76" i="4"/>
  <c r="AE76" i="4"/>
  <c r="AM76" i="4"/>
  <c r="AU76" i="4"/>
  <c r="X77" i="4"/>
  <c r="AF77" i="4"/>
  <c r="AN77" i="4"/>
  <c r="AV77" i="4"/>
  <c r="Z78" i="4"/>
  <c r="AH78" i="4"/>
  <c r="AP78" i="4"/>
  <c r="AX78" i="4"/>
  <c r="AY78" i="4"/>
  <c r="AC58" i="4"/>
  <c r="P67" i="4"/>
  <c r="V74" i="4"/>
  <c r="AT75" i="4"/>
  <c r="AM77" i="4"/>
  <c r="AS58" i="4"/>
  <c r="U61" i="4"/>
  <c r="AE62" i="4"/>
  <c r="AP63" i="4"/>
  <c r="Q66" i="4"/>
  <c r="AF67" i="4"/>
  <c r="AV68" i="4"/>
  <c r="S70" i="4"/>
  <c r="Q71" i="4"/>
  <c r="AW71" i="4"/>
  <c r="AP72" i="4"/>
  <c r="V73" i="4"/>
  <c r="AE73" i="4"/>
  <c r="AN73" i="4"/>
  <c r="AW73" i="4"/>
  <c r="X74" i="4"/>
  <c r="AG74" i="4"/>
  <c r="AO74" i="4"/>
  <c r="AW74" i="4"/>
  <c r="X75" i="4"/>
  <c r="AF75" i="4"/>
  <c r="AN75" i="4"/>
  <c r="AV75" i="4"/>
  <c r="X76" i="4"/>
  <c r="AF76" i="4"/>
  <c r="AN76" i="4"/>
  <c r="AV76" i="4"/>
  <c r="Y77" i="4"/>
  <c r="AG77" i="4"/>
  <c r="AO77" i="4"/>
  <c r="AW77" i="4"/>
  <c r="AA78" i="4"/>
  <c r="AI78" i="4"/>
  <c r="AQ78" i="4"/>
  <c r="AL64" i="4"/>
  <c r="AW69" i="4"/>
  <c r="AU73" i="4"/>
  <c r="AL75" i="4"/>
  <c r="AT76" i="4"/>
  <c r="AO78" i="4"/>
  <c r="L60" i="4"/>
  <c r="AC61" i="4"/>
  <c r="AM62" i="4"/>
  <c r="AX63" i="4"/>
  <c r="K65" i="4"/>
  <c r="Y66" i="4"/>
  <c r="AN67" i="4"/>
  <c r="AA70" i="4"/>
  <c r="V71" i="4"/>
  <c r="AR72" i="4"/>
  <c r="W73" i="4"/>
  <c r="AF73" i="4"/>
  <c r="AO73" i="4"/>
  <c r="AX73" i="4"/>
  <c r="Y74" i="4"/>
  <c r="AH74" i="4"/>
  <c r="AP74" i="4"/>
  <c r="AX74" i="4"/>
  <c r="Y75" i="4"/>
  <c r="AG75" i="4"/>
  <c r="AO75" i="4"/>
  <c r="AW75" i="4"/>
  <c r="Y76" i="4"/>
  <c r="AG76" i="4"/>
  <c r="AO76" i="4"/>
  <c r="AW76" i="4"/>
  <c r="Z77" i="4"/>
  <c r="AH77" i="4"/>
  <c r="AP77" i="4"/>
  <c r="AX77" i="4"/>
  <c r="AB78" i="4"/>
  <c r="AJ78" i="4"/>
  <c r="AR78" i="4"/>
  <c r="AM78" i="4"/>
  <c r="AF78" i="4"/>
  <c r="Z63" i="4"/>
  <c r="AO71" i="4"/>
  <c r="AE74" i="4"/>
  <c r="V76" i="4"/>
  <c r="Y78" i="4"/>
  <c r="D59" i="4"/>
  <c r="T60" i="4"/>
  <c r="AK61" i="4"/>
  <c r="AU62" i="4"/>
  <c r="S65" i="4"/>
  <c r="AG66" i="4"/>
  <c r="AV67" i="4"/>
  <c r="Q69" i="4"/>
  <c r="AI70" i="4"/>
  <c r="Y71" i="4"/>
  <c r="R72" i="4"/>
  <c r="AS72" i="4"/>
  <c r="X73" i="4"/>
  <c r="AG73" i="4"/>
  <c r="AP73" i="4"/>
  <c r="AY73" i="4"/>
  <c r="Z74" i="4"/>
  <c r="AI74" i="4"/>
  <c r="AQ74" i="4"/>
  <c r="AY74" i="4"/>
  <c r="Z75" i="4"/>
  <c r="AH75" i="4"/>
  <c r="AP75" i="4"/>
  <c r="AX75" i="4"/>
  <c r="Z76" i="4"/>
  <c r="AH76" i="4"/>
  <c r="AP76" i="4"/>
  <c r="AX76" i="4"/>
  <c r="AA77" i="4"/>
  <c r="AI77" i="4"/>
  <c r="AQ77" i="4"/>
  <c r="AY77" i="4"/>
  <c r="AC78" i="4"/>
  <c r="AK78" i="4"/>
  <c r="AS78" i="4"/>
  <c r="AJ59" i="4"/>
  <c r="AH72" i="4"/>
  <c r="AM74" i="4"/>
  <c r="AL76" i="4"/>
  <c r="AG78" i="4"/>
  <c r="E58" i="4"/>
  <c r="L59" i="4"/>
  <c r="AB60" i="4"/>
  <c r="AS61" i="4"/>
  <c r="N64" i="4"/>
  <c r="AA65" i="4"/>
  <c r="AO66" i="4"/>
  <c r="Y69" i="4"/>
  <c r="AL70" i="4"/>
  <c r="AD71" i="4"/>
  <c r="U72" i="4"/>
  <c r="AW72" i="4"/>
  <c r="Y73" i="4"/>
  <c r="AH73" i="4"/>
  <c r="AQ73" i="4"/>
  <c r="AB74" i="4"/>
  <c r="AJ74" i="4"/>
  <c r="AR74" i="4"/>
  <c r="AA75" i="4"/>
  <c r="AI75" i="4"/>
  <c r="AQ75" i="4"/>
  <c r="AY75" i="4"/>
  <c r="AA76" i="4"/>
  <c r="AI76" i="4"/>
  <c r="AQ76" i="4"/>
  <c r="AY76" i="4"/>
  <c r="AB77" i="4"/>
  <c r="AJ77" i="4"/>
  <c r="AR77" i="4"/>
  <c r="AD78" i="4"/>
  <c r="AL78" i="4"/>
  <c r="AT78" i="4"/>
  <c r="W78" i="4"/>
  <c r="AU78" i="4"/>
  <c r="AN78" i="4"/>
  <c r="O62" i="4"/>
  <c r="AF68" i="4"/>
  <c r="AL73" i="4"/>
  <c r="AU74" i="4"/>
  <c r="AD76" i="4"/>
  <c r="AU77" i="4"/>
  <c r="M58" i="4"/>
  <c r="T59" i="4"/>
  <c r="AJ60" i="4"/>
  <c r="J63" i="4"/>
  <c r="V64" i="4"/>
  <c r="AI65" i="4"/>
  <c r="AW66" i="4"/>
  <c r="P68" i="4"/>
  <c r="AG69" i="4"/>
  <c r="AQ70" i="4"/>
  <c r="AG71" i="4"/>
  <c r="Z72" i="4"/>
  <c r="AX72" i="4"/>
  <c r="Z73" i="4"/>
  <c r="AI73" i="4"/>
  <c r="AR73" i="4"/>
  <c r="T74" i="4"/>
  <c r="AC74" i="4"/>
  <c r="AK74" i="4"/>
  <c r="AS74" i="4"/>
  <c r="T75" i="4"/>
  <c r="AB75" i="4"/>
  <c r="AJ75" i="4"/>
  <c r="AR75" i="4"/>
  <c r="AB76" i="4"/>
  <c r="AJ76" i="4"/>
  <c r="AR76" i="4"/>
  <c r="AC77" i="4"/>
  <c r="AK77" i="4"/>
  <c r="AS77" i="4"/>
  <c r="AE78" i="4"/>
  <c r="V75" i="4"/>
  <c r="AE77" i="4"/>
  <c r="AW78" i="4"/>
  <c r="U58" i="4"/>
  <c r="AB59" i="4"/>
  <c r="AR60" i="4"/>
  <c r="G62" i="4"/>
  <c r="R63" i="4"/>
  <c r="AD64" i="4"/>
  <c r="AQ65" i="4"/>
  <c r="X68" i="4"/>
  <c r="AO69" i="4"/>
  <c r="AT70" i="4"/>
  <c r="AL71" i="4"/>
  <c r="AC72" i="4"/>
  <c r="AY72" i="4"/>
  <c r="AA73" i="4"/>
  <c r="AJ73" i="4"/>
  <c r="AT73" i="4"/>
  <c r="U74" i="4"/>
  <c r="AD74" i="4"/>
  <c r="AL74" i="4"/>
  <c r="AT74" i="4"/>
  <c r="U75" i="4"/>
  <c r="AC75" i="4"/>
  <c r="AK75" i="4"/>
  <c r="AS75" i="4"/>
  <c r="U76" i="4"/>
  <c r="AC76" i="4"/>
  <c r="AK76" i="4"/>
  <c r="AS76" i="4"/>
  <c r="V77" i="4"/>
  <c r="AD77" i="4"/>
  <c r="AL77" i="4"/>
  <c r="AT77" i="4"/>
  <c r="X78" i="4"/>
  <c r="AV78" i="4"/>
  <c r="AY65" i="4"/>
  <c r="AY70" i="4"/>
  <c r="AB73" i="4"/>
  <c r="AD75" i="4"/>
  <c r="W77" i="4"/>
  <c r="E23" i="4"/>
  <c r="E31" i="4" s="1"/>
  <c r="D22" i="4"/>
  <c r="D44" i="4"/>
  <c r="D43" i="4" s="1"/>
  <c r="AZ35" i="4"/>
  <c r="AX35" i="4"/>
  <c r="AV35" i="4"/>
  <c r="AT35" i="4"/>
  <c r="AR35" i="4"/>
  <c r="AP35" i="4"/>
  <c r="AN35" i="4"/>
  <c r="AL35" i="4"/>
  <c r="AJ35" i="4"/>
  <c r="AH35" i="4"/>
  <c r="AF35" i="4"/>
  <c r="AD35" i="4"/>
  <c r="AB35" i="4"/>
  <c r="Z35" i="4"/>
  <c r="X35" i="4"/>
  <c r="V35" i="4"/>
  <c r="T35" i="4"/>
  <c r="R35" i="4"/>
  <c r="P35" i="4"/>
  <c r="N35" i="4"/>
  <c r="L35" i="4"/>
  <c r="J35" i="4"/>
  <c r="H35" i="4"/>
  <c r="F35" i="4"/>
  <c r="D35" i="4"/>
  <c r="AY35" i="4"/>
  <c r="AW35" i="4"/>
  <c r="AU35" i="4"/>
  <c r="AS35" i="4"/>
  <c r="AQ35" i="4"/>
  <c r="AO35" i="4"/>
  <c r="AM35" i="4"/>
  <c r="AK35" i="4"/>
  <c r="AI35" i="4"/>
  <c r="AG35" i="4"/>
  <c r="AE35" i="4"/>
  <c r="AC35" i="4"/>
  <c r="AA35" i="4"/>
  <c r="Y35" i="4"/>
  <c r="W35" i="4"/>
  <c r="U35" i="4"/>
  <c r="S35" i="4"/>
  <c r="Q35" i="4"/>
  <c r="O35" i="4"/>
  <c r="M35" i="4"/>
  <c r="K35" i="4"/>
  <c r="I35" i="4"/>
  <c r="G35" i="4"/>
  <c r="E35" i="4"/>
  <c r="C29" i="4"/>
  <c r="AQ34" i="3"/>
  <c r="U34" i="3"/>
  <c r="AA34" i="3"/>
  <c r="AV34" i="3"/>
  <c r="AS34" i="3"/>
  <c r="X34" i="3"/>
  <c r="E34" i="3"/>
  <c r="AN34" i="3"/>
  <c r="S34" i="3"/>
  <c r="AK34" i="3"/>
  <c r="P34" i="3"/>
  <c r="AI34" i="3"/>
  <c r="M34" i="3"/>
  <c r="K34" i="3"/>
  <c r="AF34" i="3"/>
  <c r="AY34" i="3"/>
  <c r="AC34" i="3"/>
  <c r="H34" i="3"/>
  <c r="AX34" i="3"/>
  <c r="AP34" i="3"/>
  <c r="AH34" i="3"/>
  <c r="Z34" i="3"/>
  <c r="R34" i="3"/>
  <c r="J34" i="3"/>
  <c r="AW34" i="3"/>
  <c r="AO34" i="3"/>
  <c r="AG34" i="3"/>
  <c r="Y34" i="3"/>
  <c r="Q34" i="3"/>
  <c r="I34" i="3"/>
  <c r="AU34" i="3"/>
  <c r="AM34" i="3"/>
  <c r="AE34" i="3"/>
  <c r="W34" i="3"/>
  <c r="O34" i="3"/>
  <c r="G34" i="3"/>
  <c r="AT34" i="3"/>
  <c r="AL34" i="3"/>
  <c r="AD34" i="3"/>
  <c r="V34" i="3"/>
  <c r="N34" i="3"/>
  <c r="F34" i="3"/>
  <c r="AR34" i="3"/>
  <c r="AJ34" i="3"/>
  <c r="AB34" i="3"/>
  <c r="T34" i="3"/>
  <c r="L34" i="3"/>
  <c r="D34" i="3"/>
  <c r="D12" i="3"/>
  <c r="E11" i="3"/>
  <c r="F21" i="3"/>
  <c r="E30" i="4" l="1"/>
  <c r="D47" i="4"/>
  <c r="C46" i="4"/>
  <c r="C45" i="4" s="1"/>
  <c r="C34" i="4" s="1"/>
  <c r="E47" i="4"/>
  <c r="F23" i="4"/>
  <c r="E22" i="4"/>
  <c r="E44" i="4"/>
  <c r="E43" i="4" s="1"/>
  <c r="D29" i="4"/>
  <c r="G46" i="4"/>
  <c r="K46" i="4"/>
  <c r="O46" i="4"/>
  <c r="W46" i="4"/>
  <c r="AA46" i="4"/>
  <c r="AE46" i="4"/>
  <c r="AI46" i="4"/>
  <c r="AQ46" i="4"/>
  <c r="AU46" i="4"/>
  <c r="AY46" i="4"/>
  <c r="E46" i="4"/>
  <c r="I46" i="4"/>
  <c r="M46" i="4"/>
  <c r="Q46" i="4"/>
  <c r="U46" i="4"/>
  <c r="Y46" i="4"/>
  <c r="AC46" i="4"/>
  <c r="AG46" i="4"/>
  <c r="AK46" i="4"/>
  <c r="AO46" i="4"/>
  <c r="AS46" i="4"/>
  <c r="AW46" i="4"/>
  <c r="D46" i="4"/>
  <c r="H46" i="4"/>
  <c r="L46" i="4"/>
  <c r="P46" i="4"/>
  <c r="T46" i="4"/>
  <c r="X46" i="4"/>
  <c r="AB46" i="4"/>
  <c r="AF46" i="4"/>
  <c r="AJ46" i="4"/>
  <c r="AN46" i="4"/>
  <c r="AR46" i="4"/>
  <c r="AV46" i="4"/>
  <c r="AZ46" i="4"/>
  <c r="S46" i="4"/>
  <c r="AM46" i="4"/>
  <c r="F46" i="4"/>
  <c r="J46" i="4"/>
  <c r="N46" i="4"/>
  <c r="R46" i="4"/>
  <c r="V46" i="4"/>
  <c r="Z46" i="4"/>
  <c r="AD46" i="4"/>
  <c r="AH46" i="4"/>
  <c r="AL46" i="4"/>
  <c r="AP46" i="4"/>
  <c r="AT46" i="4"/>
  <c r="AX46" i="4"/>
  <c r="G21" i="3"/>
  <c r="E12" i="3"/>
  <c r="F11" i="3"/>
  <c r="E29" i="4" l="1"/>
  <c r="F31" i="4"/>
  <c r="F30" i="4"/>
  <c r="AK47" i="4"/>
  <c r="F47" i="4"/>
  <c r="AP47" i="4"/>
  <c r="AS47" i="4"/>
  <c r="AV47" i="4"/>
  <c r="T47" i="4"/>
  <c r="AC47" i="4"/>
  <c r="AO47" i="4"/>
  <c r="V47" i="4"/>
  <c r="AQ47" i="4"/>
  <c r="X47" i="4"/>
  <c r="AF47" i="4"/>
  <c r="I47" i="4"/>
  <c r="AW47" i="4"/>
  <c r="G47" i="4"/>
  <c r="S47" i="4"/>
  <c r="Z47" i="4"/>
  <c r="AT47" i="4"/>
  <c r="P47" i="4"/>
  <c r="AZ47" i="4"/>
  <c r="Q47" i="4"/>
  <c r="W47" i="4"/>
  <c r="AI47" i="4"/>
  <c r="AN47" i="4"/>
  <c r="AE47" i="4"/>
  <c r="AY47" i="4"/>
  <c r="K47" i="4"/>
  <c r="N47" i="4"/>
  <c r="AX47" i="4"/>
  <c r="M47" i="4"/>
  <c r="AM47" i="4"/>
  <c r="R47" i="4"/>
  <c r="AU47" i="4"/>
  <c r="O47" i="4"/>
  <c r="AA47" i="4"/>
  <c r="J47" i="4"/>
  <c r="AB47" i="4"/>
  <c r="Y47" i="4"/>
  <c r="AG47" i="4"/>
  <c r="AH47" i="4"/>
  <c r="U47" i="4"/>
  <c r="H47" i="4"/>
  <c r="L47" i="4"/>
  <c r="AD47" i="4"/>
  <c r="AJ47" i="4"/>
  <c r="AL47" i="4"/>
  <c r="AR47" i="4"/>
  <c r="G23" i="4"/>
  <c r="F22" i="4"/>
  <c r="F44" i="4"/>
  <c r="F43" i="4" s="1"/>
  <c r="F12" i="3"/>
  <c r="G11" i="3"/>
  <c r="H21" i="3"/>
  <c r="G31" i="4" l="1"/>
  <c r="G30" i="4"/>
  <c r="F29" i="4"/>
  <c r="H23" i="4"/>
  <c r="G44" i="4"/>
  <c r="I21" i="3"/>
  <c r="G12" i="3"/>
  <c r="H11" i="3"/>
  <c r="G29" i="4" l="1"/>
  <c r="H31" i="4"/>
  <c r="H30" i="4"/>
  <c r="I23" i="4"/>
  <c r="H44" i="4"/>
  <c r="J21" i="3"/>
  <c r="H12" i="3"/>
  <c r="I11" i="3"/>
  <c r="I31" i="4" l="1"/>
  <c r="I30" i="4"/>
  <c r="H29" i="4"/>
  <c r="J23" i="4"/>
  <c r="I44" i="4"/>
  <c r="I12" i="3"/>
  <c r="J11" i="3"/>
  <c r="K21" i="3"/>
  <c r="I29" i="4" l="1"/>
  <c r="J31" i="4"/>
  <c r="J30" i="4"/>
  <c r="K23" i="4"/>
  <c r="J44" i="4"/>
  <c r="L21" i="3"/>
  <c r="K11" i="3"/>
  <c r="J12" i="3"/>
  <c r="K31" i="4" l="1"/>
  <c r="K30" i="4"/>
  <c r="J29" i="4"/>
  <c r="L23" i="4"/>
  <c r="K44" i="4"/>
  <c r="K12" i="3"/>
  <c r="L11" i="3"/>
  <c r="M21" i="3"/>
  <c r="L31" i="4" l="1"/>
  <c r="L30" i="4"/>
  <c r="K29" i="4"/>
  <c r="M23" i="4"/>
  <c r="L44" i="4"/>
  <c r="L12" i="3"/>
  <c r="M11" i="3"/>
  <c r="N21" i="3"/>
  <c r="L29" i="4" l="1"/>
  <c r="M31" i="4"/>
  <c r="M30" i="4"/>
  <c r="N23" i="4"/>
  <c r="M44" i="4"/>
  <c r="M12" i="3"/>
  <c r="N11" i="3"/>
  <c r="O21" i="3"/>
  <c r="N31" i="4" l="1"/>
  <c r="N30" i="4"/>
  <c r="M29" i="4"/>
  <c r="O23" i="4"/>
  <c r="N44" i="4"/>
  <c r="P21" i="3"/>
  <c r="N12" i="3"/>
  <c r="O11" i="3"/>
  <c r="N29" i="4" l="1"/>
  <c r="O31" i="4"/>
  <c r="O30" i="4"/>
  <c r="P23" i="4"/>
  <c r="O44" i="4"/>
  <c r="O12" i="3"/>
  <c r="P11" i="3"/>
  <c r="Q21" i="3"/>
  <c r="O29" i="4" l="1"/>
  <c r="P31" i="4"/>
  <c r="P30" i="4"/>
  <c r="Q23" i="4"/>
  <c r="P44" i="4"/>
  <c r="P12" i="3"/>
  <c r="Q11" i="3"/>
  <c r="R21" i="3"/>
  <c r="P29" i="4" l="1"/>
  <c r="Q31" i="4"/>
  <c r="Q30" i="4"/>
  <c r="R23" i="4"/>
  <c r="Q44" i="4"/>
  <c r="S21" i="3"/>
  <c r="Q12" i="3"/>
  <c r="R11" i="3"/>
  <c r="Q29" i="4" l="1"/>
  <c r="R31" i="4"/>
  <c r="R30" i="4"/>
  <c r="S23" i="4"/>
  <c r="R44" i="4"/>
  <c r="S11" i="3"/>
  <c r="R12" i="3"/>
  <c r="T21" i="3"/>
  <c r="S31" i="4" l="1"/>
  <c r="S30" i="4"/>
  <c r="R29" i="4"/>
  <c r="T23" i="4"/>
  <c r="S44" i="4"/>
  <c r="U21" i="3"/>
  <c r="S12" i="3"/>
  <c r="T11" i="3"/>
  <c r="S29" i="4" l="1"/>
  <c r="T31" i="4"/>
  <c r="T30" i="4"/>
  <c r="U23" i="4"/>
  <c r="T44" i="4"/>
  <c r="V21" i="3"/>
  <c r="T12" i="3"/>
  <c r="U11" i="3"/>
  <c r="U31" i="4" l="1"/>
  <c r="U30" i="4"/>
  <c r="T29" i="4"/>
  <c r="V23" i="4"/>
  <c r="U44" i="4"/>
  <c r="W21" i="3"/>
  <c r="U12" i="3"/>
  <c r="V11" i="3"/>
  <c r="V31" i="4" l="1"/>
  <c r="V30" i="4"/>
  <c r="U29" i="4"/>
  <c r="W23" i="4"/>
  <c r="V44" i="4"/>
  <c r="V12" i="3"/>
  <c r="W11" i="3"/>
  <c r="X21" i="3"/>
  <c r="W31" i="4" l="1"/>
  <c r="W30" i="4"/>
  <c r="V29" i="4"/>
  <c r="X23" i="4"/>
  <c r="W44" i="4"/>
  <c r="Y21" i="3"/>
  <c r="W12" i="3"/>
  <c r="X11" i="3"/>
  <c r="X31" i="4" l="1"/>
  <c r="X30" i="4"/>
  <c r="W29" i="4"/>
  <c r="Y23" i="4"/>
  <c r="X44" i="4"/>
  <c r="X12" i="3"/>
  <c r="Y11" i="3"/>
  <c r="Z21" i="3"/>
  <c r="Y31" i="4" l="1"/>
  <c r="Y30" i="4"/>
  <c r="X29" i="4"/>
  <c r="Z23" i="4"/>
  <c r="Y44" i="4"/>
  <c r="AA21" i="3"/>
  <c r="Y12" i="3"/>
  <c r="Z11" i="3"/>
  <c r="Z31" i="4" l="1"/>
  <c r="Z30" i="4"/>
  <c r="Y29" i="4"/>
  <c r="AA23" i="4"/>
  <c r="Z44" i="4"/>
  <c r="AB21" i="3"/>
  <c r="AA11" i="3"/>
  <c r="Z12" i="3"/>
  <c r="AA31" i="4" l="1"/>
  <c r="AA30" i="4"/>
  <c r="Z29" i="4"/>
  <c r="AB23" i="4"/>
  <c r="AA44" i="4"/>
  <c r="AC21" i="3"/>
  <c r="AA12" i="3"/>
  <c r="AB11" i="3"/>
  <c r="AB31" i="4" l="1"/>
  <c r="AB30" i="4"/>
  <c r="AA29" i="4"/>
  <c r="AC23" i="4"/>
  <c r="AB44" i="4"/>
  <c r="AD21" i="3"/>
  <c r="AB12" i="3"/>
  <c r="AC11" i="3"/>
  <c r="AB29" i="4" l="1"/>
  <c r="AC31" i="4"/>
  <c r="AC30" i="4"/>
  <c r="AD23" i="4"/>
  <c r="AC44" i="4"/>
  <c r="AC12" i="3"/>
  <c r="AD11" i="3"/>
  <c r="AE21" i="3"/>
  <c r="AD31" i="4" l="1"/>
  <c r="AD30" i="4"/>
  <c r="AC29" i="4"/>
  <c r="AE23" i="4"/>
  <c r="AD44" i="4"/>
  <c r="AF21" i="3"/>
  <c r="AD12" i="3"/>
  <c r="AE11" i="3"/>
  <c r="AE31" i="4" l="1"/>
  <c r="AE30" i="4"/>
  <c r="AD29" i="4"/>
  <c r="AF23" i="4"/>
  <c r="AE44" i="4"/>
  <c r="AE12" i="3"/>
  <c r="AF11" i="3"/>
  <c r="AG21" i="3"/>
  <c r="AF31" i="4" l="1"/>
  <c r="AF30" i="4"/>
  <c r="AE29" i="4"/>
  <c r="AG23" i="4"/>
  <c r="AF44" i="4"/>
  <c r="AF12" i="3"/>
  <c r="AG11" i="3"/>
  <c r="AH21" i="3"/>
  <c r="AF29" i="4" l="1"/>
  <c r="AG31" i="4"/>
  <c r="AG30" i="4"/>
  <c r="AH23" i="4"/>
  <c r="AG44" i="4"/>
  <c r="AI21" i="3"/>
  <c r="AG12" i="3"/>
  <c r="AH11" i="3"/>
  <c r="AG29" i="4" l="1"/>
  <c r="AH31" i="4"/>
  <c r="AH30" i="4"/>
  <c r="AI23" i="4"/>
  <c r="AH44" i="4"/>
  <c r="AI11" i="3"/>
  <c r="AH12" i="3"/>
  <c r="AJ21" i="3"/>
  <c r="AI31" i="4" l="1"/>
  <c r="AI30" i="4"/>
  <c r="AH29" i="4"/>
  <c r="AJ23" i="4"/>
  <c r="AI44" i="4"/>
  <c r="AK21" i="3"/>
  <c r="AI12" i="3"/>
  <c r="AJ11" i="3"/>
  <c r="AI29" i="4" l="1"/>
  <c r="AJ31" i="4"/>
  <c r="AJ30" i="4"/>
  <c r="AK23" i="4"/>
  <c r="AJ44" i="4"/>
  <c r="AL21" i="3"/>
  <c r="AJ12" i="3"/>
  <c r="AK11" i="3"/>
  <c r="AK31" i="4" l="1"/>
  <c r="AK30" i="4"/>
  <c r="AJ29" i="4"/>
  <c r="AL23" i="4"/>
  <c r="AK44" i="4"/>
  <c r="AK12" i="3"/>
  <c r="AL11" i="3"/>
  <c r="AM21" i="3"/>
  <c r="AL31" i="4" l="1"/>
  <c r="AL30" i="4"/>
  <c r="AK29" i="4"/>
  <c r="AM23" i="4"/>
  <c r="AL44" i="4"/>
  <c r="AN21" i="3"/>
  <c r="AL12" i="3"/>
  <c r="AM11" i="3"/>
  <c r="AM31" i="4" l="1"/>
  <c r="AM30" i="4"/>
  <c r="AL29" i="4"/>
  <c r="AN23" i="4"/>
  <c r="AM44" i="4"/>
  <c r="AM12" i="3"/>
  <c r="AN11" i="3"/>
  <c r="AO21" i="3"/>
  <c r="AN31" i="4" l="1"/>
  <c r="AN30" i="4"/>
  <c r="AM29" i="4"/>
  <c r="AO23" i="4"/>
  <c r="AN44" i="4"/>
  <c r="AN12" i="3"/>
  <c r="AO11" i="3"/>
  <c r="AP21" i="3"/>
  <c r="AO31" i="4" l="1"/>
  <c r="AO30" i="4"/>
  <c r="AN29" i="4"/>
  <c r="AP23" i="4"/>
  <c r="AO44" i="4"/>
  <c r="AQ21" i="3"/>
  <c r="AO12" i="3"/>
  <c r="AP11" i="3"/>
  <c r="AP31" i="4" l="1"/>
  <c r="AP30" i="4"/>
  <c r="AO29" i="4"/>
  <c r="AQ23" i="4"/>
  <c r="AP44" i="4"/>
  <c r="AQ11" i="3"/>
  <c r="AP12" i="3"/>
  <c r="AR21" i="3"/>
  <c r="AQ31" i="4" l="1"/>
  <c r="AQ30" i="4"/>
  <c r="AP29" i="4"/>
  <c r="AR23" i="4"/>
  <c r="AQ44" i="4"/>
  <c r="AS21" i="3"/>
  <c r="AQ12" i="3"/>
  <c r="AR11" i="3"/>
  <c r="AQ29" i="4" l="1"/>
  <c r="AR31" i="4"/>
  <c r="AR30" i="4"/>
  <c r="AS23" i="4"/>
  <c r="AR44" i="4"/>
  <c r="AT21" i="3"/>
  <c r="AR12" i="3"/>
  <c r="AS11" i="3"/>
  <c r="AS31" i="4" l="1"/>
  <c r="AS30" i="4"/>
  <c r="AR29" i="4"/>
  <c r="AT23" i="4"/>
  <c r="AS44" i="4"/>
  <c r="AS12" i="3"/>
  <c r="AT11" i="3"/>
  <c r="AU21" i="3"/>
  <c r="AT31" i="4" l="1"/>
  <c r="AT30" i="4"/>
  <c r="AS29" i="4"/>
  <c r="AU23" i="4"/>
  <c r="AT44" i="4"/>
  <c r="AV21" i="3"/>
  <c r="AT12" i="3"/>
  <c r="AU11" i="3"/>
  <c r="AT29" i="4" l="1"/>
  <c r="AU31" i="4"/>
  <c r="AU30" i="4"/>
  <c r="AV23" i="4"/>
  <c r="AU44" i="4"/>
  <c r="AW21" i="3"/>
  <c r="AU12" i="3"/>
  <c r="AV11" i="3"/>
  <c r="AV31" i="4" l="1"/>
  <c r="AV30" i="4"/>
  <c r="AU29" i="4"/>
  <c r="AW23" i="4"/>
  <c r="AV44" i="4"/>
  <c r="AV12" i="3"/>
  <c r="AW11" i="3"/>
  <c r="AX21" i="3"/>
  <c r="AW31" i="4" l="1"/>
  <c r="AW30" i="4"/>
  <c r="AV29" i="4"/>
  <c r="AX23" i="4"/>
  <c r="AW44" i="4"/>
  <c r="AW12" i="3"/>
  <c r="AX11" i="3"/>
  <c r="AY21" i="3"/>
  <c r="AX31" i="4" l="1"/>
  <c r="AX30" i="4"/>
  <c r="AW29" i="4"/>
  <c r="AY23" i="4"/>
  <c r="AX44" i="4"/>
  <c r="AY11" i="3"/>
  <c r="AX12" i="3"/>
  <c r="AZ21" i="3"/>
  <c r="AY31" i="4" l="1"/>
  <c r="AY30" i="4"/>
  <c r="AX29" i="4"/>
  <c r="AZ23" i="4"/>
  <c r="AY44" i="4"/>
  <c r="AY12" i="3"/>
  <c r="AZ11" i="3"/>
  <c r="AZ31" i="4" l="1"/>
  <c r="C10" i="5" s="1"/>
  <c r="C17" i="5" s="1"/>
  <c r="AZ30" i="4"/>
  <c r="AY29" i="4"/>
  <c r="AZ22" i="4"/>
  <c r="AZ44" i="4"/>
  <c r="AZ43" i="4" s="1"/>
  <c r="AZ12" i="3"/>
  <c r="D11" i="4" s="1"/>
  <c r="C11" i="4" s="1"/>
  <c r="AZ29" i="4" l="1"/>
  <c r="D17" i="4"/>
  <c r="D8" i="4"/>
  <c r="C8" i="4" s="1"/>
  <c r="D9" i="4"/>
  <c r="C9" i="4" s="1"/>
  <c r="D10" i="4"/>
  <c r="C10" i="4" s="1"/>
  <c r="AZ45" i="4"/>
  <c r="AZ34" i="4" s="1"/>
  <c r="G45" i="4"/>
  <c r="G34" i="4" s="1"/>
  <c r="AG45" i="4"/>
  <c r="AG34" i="4" s="1"/>
  <c r="AT45" i="4"/>
  <c r="AT34" i="4" s="1"/>
  <c r="R45" i="4"/>
  <c r="R34" i="4" s="1"/>
  <c r="AJ45" i="4"/>
  <c r="AJ34" i="4" s="1"/>
  <c r="U45" i="4"/>
  <c r="U34" i="4" s="1"/>
  <c r="H45" i="4"/>
  <c r="H34" i="4" s="1"/>
  <c r="AQ45" i="4"/>
  <c r="AQ34" i="4" s="1"/>
  <c r="J45" i="4"/>
  <c r="J34" i="4" s="1"/>
  <c r="W45" i="4"/>
  <c r="W34" i="4" s="1"/>
  <c r="T45" i="4"/>
  <c r="T34" i="4" s="1"/>
  <c r="D45" i="4"/>
  <c r="AK45" i="4"/>
  <c r="AK34" i="4" s="1"/>
  <c r="AH45" i="4"/>
  <c r="AH34" i="4" s="1"/>
  <c r="AP45" i="4"/>
  <c r="AP34" i="4" s="1"/>
  <c r="AW45" i="4"/>
  <c r="AW34" i="4" s="1"/>
  <c r="AD45" i="4"/>
  <c r="AD34" i="4" s="1"/>
  <c r="AV45" i="4"/>
  <c r="AV34" i="4" s="1"/>
  <c r="AI45" i="4"/>
  <c r="AI34" i="4" s="1"/>
  <c r="AX45" i="4"/>
  <c r="AX34" i="4" s="1"/>
  <c r="Y45" i="4"/>
  <c r="Y34" i="4" s="1"/>
  <c r="AC45" i="4"/>
  <c r="AC34" i="4" s="1"/>
  <c r="D17" i="5" l="1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AH17" i="5"/>
  <c r="AI17" i="5"/>
  <c r="AJ17" i="5"/>
  <c r="AK17" i="5"/>
  <c r="AL17" i="5"/>
  <c r="AM17" i="5"/>
  <c r="AN17" i="5"/>
  <c r="AO17" i="5"/>
  <c r="AP17" i="5"/>
  <c r="AQ17" i="5"/>
  <c r="AR17" i="5"/>
  <c r="AS17" i="5"/>
  <c r="AT17" i="5"/>
  <c r="AU17" i="5"/>
  <c r="AV17" i="5"/>
  <c r="AW17" i="5"/>
  <c r="AX17" i="5"/>
  <c r="AY17" i="5"/>
  <c r="AZ17" i="5"/>
  <c r="D34" i="4"/>
  <c r="AU45" i="4"/>
  <c r="AU34" i="4" s="1"/>
  <c r="P45" i="4"/>
  <c r="P34" i="4" s="1"/>
  <c r="M45" i="4"/>
  <c r="M34" i="4" s="1"/>
  <c r="AM45" i="4"/>
  <c r="AM34" i="4" s="1"/>
  <c r="F45" i="4"/>
  <c r="F34" i="4" s="1"/>
  <c r="AS45" i="4"/>
  <c r="AS34" i="4" s="1"/>
  <c r="S45" i="4"/>
  <c r="S34" i="4" s="1"/>
  <c r="X45" i="4"/>
  <c r="X34" i="4" s="1"/>
  <c r="V45" i="4"/>
  <c r="V34" i="4" s="1"/>
  <c r="L45" i="4"/>
  <c r="L34" i="4" s="1"/>
  <c r="AO45" i="4"/>
  <c r="AO34" i="4" s="1"/>
  <c r="AY45" i="4"/>
  <c r="AY34" i="4" s="1"/>
  <c r="N45" i="4"/>
  <c r="N34" i="4" s="1"/>
  <c r="AN45" i="4"/>
  <c r="AN34" i="4" s="1"/>
  <c r="AR45" i="4"/>
  <c r="AR34" i="4" s="1"/>
  <c r="K45" i="4"/>
  <c r="K34" i="4" s="1"/>
  <c r="Q45" i="4"/>
  <c r="Q34" i="4" s="1"/>
  <c r="AE45" i="4"/>
  <c r="AE34" i="4" s="1"/>
  <c r="AL45" i="4"/>
  <c r="AL34" i="4" s="1"/>
  <c r="I45" i="4"/>
  <c r="I34" i="4" s="1"/>
  <c r="AF45" i="4"/>
  <c r="AF34" i="4" s="1"/>
  <c r="Z45" i="4"/>
  <c r="Z34" i="4" s="1"/>
  <c r="AY27" i="4"/>
  <c r="AQ27" i="4"/>
  <c r="AI27" i="4"/>
  <c r="AA27" i="4"/>
  <c r="S27" i="4"/>
  <c r="K27" i="4"/>
  <c r="C27" i="4"/>
  <c r="AX27" i="4"/>
  <c r="AP27" i="4"/>
  <c r="AH27" i="4"/>
  <c r="Z27" i="4"/>
  <c r="R27" i="4"/>
  <c r="J27" i="4"/>
  <c r="AW27" i="4"/>
  <c r="AO27" i="4"/>
  <c r="AG27" i="4"/>
  <c r="Y27" i="4"/>
  <c r="Q27" i="4"/>
  <c r="I27" i="4"/>
  <c r="AV27" i="4"/>
  <c r="AN27" i="4"/>
  <c r="AF27" i="4"/>
  <c r="X27" i="4"/>
  <c r="P27" i="4"/>
  <c r="H27" i="4"/>
  <c r="AT27" i="4"/>
  <c r="AL27" i="4"/>
  <c r="AD27" i="4"/>
  <c r="V27" i="4"/>
  <c r="N27" i="4"/>
  <c r="F27" i="4"/>
  <c r="AS27" i="4"/>
  <c r="AK27" i="4"/>
  <c r="AC27" i="4"/>
  <c r="U27" i="4"/>
  <c r="M27" i="4"/>
  <c r="E27" i="4"/>
  <c r="AU27" i="4"/>
  <c r="O27" i="4"/>
  <c r="AR27" i="4"/>
  <c r="L27" i="4"/>
  <c r="AM27" i="4"/>
  <c r="G27" i="4"/>
  <c r="AJ27" i="4"/>
  <c r="D27" i="4"/>
  <c r="AE27" i="4"/>
  <c r="AB27" i="4"/>
  <c r="AZ27" i="4"/>
  <c r="T27" i="4"/>
  <c r="W27" i="4"/>
  <c r="E45" i="4"/>
  <c r="E34" i="4" s="1"/>
  <c r="O45" i="4"/>
  <c r="O34" i="4" s="1"/>
  <c r="AB45" i="4"/>
  <c r="AB34" i="4" s="1"/>
  <c r="AA45" i="4"/>
  <c r="AA34" i="4" s="1"/>
  <c r="E12" i="4" l="1"/>
  <c r="D12" i="4" s="1"/>
  <c r="C12" i="4" l="1"/>
  <c r="C33" i="4" l="1"/>
  <c r="C39" i="4" l="1"/>
  <c r="C27" i="5" s="1"/>
  <c r="D50" i="4"/>
  <c r="D36" i="4" l="1"/>
  <c r="D33" i="4" s="1"/>
  <c r="E50" i="4" l="1"/>
  <c r="D39" i="4"/>
  <c r="D27" i="5" s="1"/>
  <c r="E36" i="4" l="1"/>
  <c r="E33" i="4" s="1"/>
  <c r="E39" i="4" l="1"/>
  <c r="E27" i="5" s="1"/>
  <c r="F50" i="4"/>
  <c r="F36" i="4" l="1"/>
  <c r="F33" i="4" s="1"/>
  <c r="G50" i="4" s="1"/>
  <c r="G36" i="4" l="1"/>
  <c r="G33" i="4" s="1"/>
  <c r="G39" i="4" s="1"/>
  <c r="G27" i="5" s="1"/>
  <c r="F39" i="4"/>
  <c r="F27" i="5" s="1"/>
  <c r="H50" i="4" l="1"/>
  <c r="H36" i="4" l="1"/>
  <c r="H33" i="4" s="1"/>
  <c r="H39" i="4" s="1"/>
  <c r="H27" i="5" s="1"/>
  <c r="I50" i="4" l="1"/>
  <c r="I36" i="4" s="1"/>
  <c r="I33" i="4" s="1"/>
  <c r="J50" i="4" s="1"/>
  <c r="J36" i="4" l="1"/>
  <c r="J33" i="4" s="1"/>
  <c r="K50" i="4" s="1"/>
  <c r="I39" i="4"/>
  <c r="I27" i="5" s="1"/>
  <c r="K36" i="4" l="1"/>
  <c r="K33" i="4" s="1"/>
  <c r="L50" i="4" s="1"/>
  <c r="J39" i="4"/>
  <c r="J27" i="5" s="1"/>
  <c r="K39" i="4" l="1"/>
  <c r="K27" i="5" s="1"/>
  <c r="L36" i="4"/>
  <c r="L33" i="4" s="1"/>
  <c r="M50" i="4" s="1"/>
  <c r="L39" i="4" l="1"/>
  <c r="L27" i="5" s="1"/>
  <c r="M36" i="4"/>
  <c r="M33" i="4" s="1"/>
  <c r="N50" i="4" s="1"/>
  <c r="M39" i="4" l="1"/>
  <c r="M27" i="5" s="1"/>
  <c r="N36" i="4"/>
  <c r="N33" i="4" s="1"/>
  <c r="O50" i="4" s="1"/>
  <c r="N39" i="4" l="1"/>
  <c r="N27" i="5" s="1"/>
  <c r="O36" i="4"/>
  <c r="O33" i="4" s="1"/>
  <c r="P50" i="4" s="1"/>
  <c r="O39" i="4" l="1"/>
  <c r="O27" i="5" s="1"/>
  <c r="P36" i="4"/>
  <c r="P33" i="4" s="1"/>
  <c r="Q50" i="4" s="1"/>
  <c r="P39" i="4" l="1"/>
  <c r="P27" i="5" s="1"/>
  <c r="Q36" i="4"/>
  <c r="Q33" i="4" s="1"/>
  <c r="R50" i="4" s="1"/>
  <c r="Q39" i="4" l="1"/>
  <c r="Q27" i="5" s="1"/>
  <c r="R36" i="4"/>
  <c r="R33" i="4" s="1"/>
  <c r="S50" i="4" s="1"/>
  <c r="R39" i="4" l="1"/>
  <c r="R27" i="5" s="1"/>
  <c r="S36" i="4"/>
  <c r="S33" i="4" s="1"/>
  <c r="T50" i="4" s="1"/>
  <c r="S39" i="4" l="1"/>
  <c r="S27" i="5" s="1"/>
  <c r="T36" i="4"/>
  <c r="T33" i="4" s="1"/>
  <c r="U50" i="4" s="1"/>
  <c r="T39" i="4" l="1"/>
  <c r="T27" i="5" s="1"/>
  <c r="U36" i="4"/>
  <c r="U33" i="4" s="1"/>
  <c r="V50" i="4" s="1"/>
  <c r="U39" i="4" l="1"/>
  <c r="U27" i="5" s="1"/>
  <c r="V36" i="4"/>
  <c r="V33" i="4" s="1"/>
  <c r="W50" i="4" s="1"/>
  <c r="V39" i="4" l="1"/>
  <c r="V27" i="5" s="1"/>
  <c r="W36" i="4"/>
  <c r="W33" i="4" s="1"/>
  <c r="W39" i="4" s="1"/>
  <c r="W27" i="5" s="1"/>
  <c r="X50" i="4" l="1"/>
  <c r="X36" i="4" s="1"/>
  <c r="X33" i="4" s="1"/>
  <c r="Y50" i="4" s="1"/>
  <c r="X39" i="4" l="1"/>
  <c r="X27" i="5" s="1"/>
  <c r="Y36" i="4"/>
  <c r="Y33" i="4" s="1"/>
  <c r="Y39" i="4" s="1"/>
  <c r="Y27" i="5" s="1"/>
  <c r="Z50" i="4" l="1"/>
  <c r="Z36" i="4" s="1"/>
  <c r="Z33" i="4" s="1"/>
  <c r="Z39" i="4" s="1"/>
  <c r="Z27" i="5" s="1"/>
  <c r="AA50" i="4" l="1"/>
  <c r="AA36" i="4" s="1"/>
  <c r="AA33" i="4" s="1"/>
  <c r="AA39" i="4" l="1"/>
  <c r="AA27" i="5" s="1"/>
  <c r="AB50" i="4"/>
  <c r="AB36" i="4" s="1"/>
  <c r="AB33" i="4" s="1"/>
  <c r="AC50" i="4" s="1"/>
  <c r="AB39" i="4" l="1"/>
  <c r="AB27" i="5" s="1"/>
  <c r="AC36" i="4"/>
  <c r="AC33" i="4" s="1"/>
  <c r="AD50" i="4" s="1"/>
  <c r="AC39" i="4" l="1"/>
  <c r="AC27" i="5" s="1"/>
  <c r="AD36" i="4"/>
  <c r="AD33" i="4" s="1"/>
  <c r="AD39" i="4" s="1"/>
  <c r="AD27" i="5" s="1"/>
  <c r="AE50" i="4" l="1"/>
  <c r="AE36" i="4" s="1"/>
  <c r="AE33" i="4" s="1"/>
  <c r="AE39" i="4" s="1"/>
  <c r="AE27" i="5" s="1"/>
  <c r="AF50" i="4" l="1"/>
  <c r="AF36" i="4" s="1"/>
  <c r="AF33" i="4" s="1"/>
  <c r="AF39" i="4" s="1"/>
  <c r="AF27" i="5" s="1"/>
  <c r="AG50" i="4" l="1"/>
  <c r="AG36" i="4" s="1"/>
  <c r="AG33" i="4" s="1"/>
  <c r="AG39" i="4" s="1"/>
  <c r="AG27" i="5" s="1"/>
  <c r="AH50" i="4" l="1"/>
  <c r="AH36" i="4" s="1"/>
  <c r="AH33" i="4" s="1"/>
  <c r="AI50" i="4" s="1"/>
  <c r="AH39" i="4" l="1"/>
  <c r="AH27" i="5" s="1"/>
  <c r="AI36" i="4"/>
  <c r="AI33" i="4" s="1"/>
  <c r="AI39" i="4" s="1"/>
  <c r="AI27" i="5" s="1"/>
  <c r="AJ50" i="4" l="1"/>
  <c r="AJ36" i="4" s="1"/>
  <c r="AJ33" i="4" s="1"/>
  <c r="AJ39" i="4" s="1"/>
  <c r="AJ27" i="5" s="1"/>
  <c r="AK50" i="4" l="1"/>
  <c r="AK36" i="4" s="1"/>
  <c r="AK33" i="4" s="1"/>
  <c r="AL50" i="4" s="1"/>
  <c r="AL36" i="4" s="1"/>
  <c r="AL33" i="4" s="1"/>
  <c r="AL39" i="4" s="1"/>
  <c r="AL27" i="5" s="1"/>
  <c r="AM50" i="4" l="1"/>
  <c r="AM36" i="4" s="1"/>
  <c r="AM33" i="4" s="1"/>
  <c r="AM39" i="4" s="1"/>
  <c r="AM27" i="5" s="1"/>
  <c r="AK39" i="4"/>
  <c r="AK27" i="5" s="1"/>
  <c r="AN50" i="4" l="1"/>
  <c r="AN36" i="4" l="1"/>
  <c r="AN33" i="4" s="1"/>
  <c r="AO50" i="4" s="1"/>
  <c r="AN39" i="4" l="1"/>
  <c r="AN27" i="5" s="1"/>
  <c r="AO36" i="4"/>
  <c r="AO33" i="4" s="1"/>
  <c r="AP50" i="4" s="1"/>
  <c r="AO39" i="4" l="1"/>
  <c r="AO27" i="5" s="1"/>
  <c r="AP36" i="4"/>
  <c r="AP33" i="4" s="1"/>
  <c r="AQ50" i="4" s="1"/>
  <c r="AQ36" i="4" s="1"/>
  <c r="AQ33" i="4" s="1"/>
  <c r="AR50" i="4" s="1"/>
  <c r="AP39" i="4" l="1"/>
  <c r="AP27" i="5" s="1"/>
  <c r="AQ39" i="4"/>
  <c r="AQ27" i="5" s="1"/>
  <c r="AR36" i="4"/>
  <c r="AR33" i="4" s="1"/>
  <c r="AS50" i="4" s="1"/>
  <c r="AR39" i="4" l="1"/>
  <c r="AR27" i="5" s="1"/>
  <c r="AS36" i="4"/>
  <c r="AS33" i="4" s="1"/>
  <c r="AT50" i="4" s="1"/>
  <c r="AS39" i="4" l="1"/>
  <c r="AS27" i="5" s="1"/>
  <c r="AT36" i="4"/>
  <c r="AT33" i="4" s="1"/>
  <c r="AT39" i="4" s="1"/>
  <c r="AT27" i="5" s="1"/>
  <c r="AU50" i="4" l="1"/>
  <c r="AU36" i="4" l="1"/>
  <c r="AU33" i="4" s="1"/>
  <c r="AU39" i="4" s="1"/>
  <c r="AU27" i="5" s="1"/>
  <c r="AV50" i="4" l="1"/>
  <c r="AV36" i="4" s="1"/>
  <c r="AV33" i="4" s="1"/>
  <c r="AV39" i="4" s="1"/>
  <c r="AV27" i="5" s="1"/>
  <c r="AW50" i="4" l="1"/>
  <c r="AW36" i="4" s="1"/>
  <c r="AW33" i="4" s="1"/>
  <c r="AX50" i="4" s="1"/>
  <c r="AX36" i="4" s="1"/>
  <c r="AX33" i="4" s="1"/>
  <c r="AW39" i="4" l="1"/>
  <c r="AW27" i="5" s="1"/>
  <c r="AX39" i="4"/>
  <c r="AX27" i="5" s="1"/>
  <c r="AY50" i="4"/>
  <c r="AY36" i="4" l="1"/>
  <c r="AY33" i="4" s="1"/>
  <c r="AZ50" i="4" s="1"/>
  <c r="AY39" i="4" l="1"/>
  <c r="AY27" i="5" s="1"/>
  <c r="AZ36" i="4"/>
  <c r="AZ33" i="4" s="1"/>
  <c r="AZ39" i="4" l="1"/>
  <c r="AZ27" i="5" s="1"/>
  <c r="AZ40" i="4"/>
  <c r="E17" i="4" s="1"/>
  <c r="C17" i="4" s="1"/>
  <c r="E16" i="4" l="1"/>
  <c r="C22" i="5"/>
  <c r="C11" i="5" l="1"/>
  <c r="D16" i="4"/>
  <c r="C16" i="4" s="1"/>
  <c r="C18" i="4" s="1"/>
  <c r="H18" i="5" l="1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W18" i="5"/>
  <c r="V18" i="5"/>
  <c r="Y18" i="5"/>
  <c r="X18" i="5"/>
  <c r="Z18" i="5"/>
  <c r="AA18" i="5"/>
  <c r="AB18" i="5"/>
  <c r="AD18" i="5"/>
  <c r="AC18" i="5"/>
  <c r="AE18" i="5"/>
  <c r="AF18" i="5"/>
  <c r="AG18" i="5"/>
  <c r="AI18" i="5"/>
  <c r="AH18" i="5"/>
  <c r="AJ18" i="5"/>
  <c r="AL18" i="5"/>
  <c r="AK18" i="5"/>
  <c r="AM18" i="5"/>
  <c r="AN18" i="5"/>
  <c r="AO18" i="5"/>
  <c r="AQ18" i="5"/>
  <c r="AP18" i="5"/>
  <c r="AR18" i="5"/>
  <c r="AT18" i="5"/>
  <c r="AS18" i="5"/>
  <c r="AU18" i="5"/>
  <c r="AV18" i="5"/>
  <c r="AX18" i="5"/>
  <c r="AW18" i="5"/>
  <c r="AY18" i="5"/>
  <c r="AZ18" i="5"/>
  <c r="D18" i="5"/>
  <c r="E18" i="5"/>
  <c r="F18" i="5"/>
  <c r="G18" i="5"/>
  <c r="C18" i="5"/>
  <c r="C14" i="4"/>
  <c r="C13" i="4" s="1"/>
  <c r="C31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<sst xmlns="http://schemas.openxmlformats.org/spreadsheetml/2006/main" count="25574" uniqueCount="707">
  <si>
    <t>Version</t>
  </si>
  <si>
    <t>Sprache auswählen; Choisir la langue; Select language</t>
  </si>
  <si>
    <t>DE</t>
  </si>
  <si>
    <t>CHF</t>
  </si>
  <si>
    <t>Configuration</t>
  </si>
  <si>
    <t>CHF Zeros  1-5 Y</t>
  </si>
  <si>
    <t>CHF Zeros  6-19 Y</t>
  </si>
  <si>
    <t>CHF Zeros  20-50 Y</t>
  </si>
  <si>
    <t>check</t>
  </si>
  <si>
    <t>Eingaben für das SST-Nonlife-Template und für das SST-Template / Entrées pour le SST-Nonlife-Template ainsi que pour le SST-Template</t>
  </si>
  <si>
    <t>Eingabe für den SST-Nonlife-Template / Entrées pour SST-Nonlife-Template</t>
  </si>
  <si>
    <t xml:space="preserve">Eingabe für das Blatt "NL_Segments_CH_direct" / Eingangsrückstellungen
Entrées pour la feuille Excel "NL_Segments_CH_direct" / Provisions initiales pour sinistres </t>
  </si>
  <si>
    <t>Eingangsschadenrückstellung / Provisions initiales pour sinistres (1.1.2024)</t>
  </si>
  <si>
    <t>No.</t>
  </si>
  <si>
    <t>SST-Standardversicherungsbranche
Branche standard SST</t>
  </si>
  <si>
    <t>nominal, brutto, nicht diskontiert
nominal, brut, non actualisé</t>
  </si>
  <si>
    <t>in Mio. CHF</t>
  </si>
  <si>
    <t>5a</t>
  </si>
  <si>
    <t>UVG, nicht verrentete Fälle / LAA, cas sans rentes</t>
  </si>
  <si>
    <t>5b</t>
  </si>
  <si>
    <t>UVG-Renten / LAA, rentes</t>
  </si>
  <si>
    <t>Eingabe für das Blatt "NL_Segments_CH_direct" / Benutzte inkrementelle Zahlungsmuster PY
Entrées pour la feuille Excel "NL_Segments_CH_direct" / cadence de paiements incrémentielle sélectionnée pour les années d'occurrence précédentes PY</t>
  </si>
  <si>
    <t xml:space="preserve">SST-Standardversicherungsbranche
Branche standard SST
</t>
  </si>
  <si>
    <t>Wert des Teuerungsfonds am Ende der Abwicklung: undiskontiert
Valeur du fonds de renchérissement: non actualisé</t>
  </si>
  <si>
    <t>Best Estimate der Verpflichtungen des UVG-Bestandes: Brutto
Best estimate des engagements actuariels du portefeuille LAA</t>
  </si>
  <si>
    <t>Eingabe für das Blatt "Delta Terms" / Entrées pour la feuille Excel "Delta Terms"</t>
  </si>
  <si>
    <t xml:space="preserve">separates Output aus dem R-Paket
</t>
  </si>
  <si>
    <t>name</t>
  </si>
  <si>
    <t>col</t>
  </si>
  <si>
    <t>type</t>
  </si>
  <si>
    <t>isValueRequired</t>
  </si>
  <si>
    <t>isReplacementZero</t>
  </si>
  <si>
    <t>excludeNA</t>
  </si>
  <si>
    <t>characteristic</t>
  </si>
  <si>
    <t>dataSelection</t>
  </si>
  <si>
    <t>filterValue</t>
  </si>
  <si>
    <t>Warning</t>
  </si>
  <si>
    <t>Error</t>
  </si>
  <si>
    <t>keyword</t>
  </si>
  <si>
    <t>description</t>
  </si>
  <si>
    <t>sheet</t>
  </si>
  <si>
    <t>row</t>
  </si>
  <si>
    <t>endRow</t>
  </si>
  <si>
    <t>isValue</t>
  </si>
  <si>
    <t>isEmptyAllowed</t>
  </si>
  <si>
    <t>isDropEmptyRows</t>
  </si>
  <si>
    <t>isCorrelation</t>
  </si>
  <si>
    <t>Y1</t>
  </si>
  <si>
    <t>3</t>
  </si>
  <si>
    <t>Numeric</t>
  </si>
  <si>
    <t>TRUE</t>
  </si>
  <si>
    <t>FALSE</t>
  </si>
  <si>
    <t/>
  </si>
  <si>
    <t>interestRates</t>
  </si>
  <si>
    <t>Risikolose Zinskurven r(t)</t>
  </si>
  <si>
    <t>Inputparam</t>
  </si>
  <si>
    <t>7</t>
  </si>
  <si>
    <t>Y2</t>
  </si>
  <si>
    <t>4</t>
  </si>
  <si>
    <t>Y3</t>
  </si>
  <si>
    <t>5</t>
  </si>
  <si>
    <t>Y4</t>
  </si>
  <si>
    <t>6</t>
  </si>
  <si>
    <t>Y5</t>
  </si>
  <si>
    <t>Y6</t>
  </si>
  <si>
    <t>8</t>
  </si>
  <si>
    <t>Y7</t>
  </si>
  <si>
    <t>9</t>
  </si>
  <si>
    <t>Y8</t>
  </si>
  <si>
    <t>10</t>
  </si>
  <si>
    <t>Y9</t>
  </si>
  <si>
    <t>11</t>
  </si>
  <si>
    <t>Y10</t>
  </si>
  <si>
    <t>12</t>
  </si>
  <si>
    <t>Y11</t>
  </si>
  <si>
    <t>13</t>
  </si>
  <si>
    <t>Y12</t>
  </si>
  <si>
    <t>14</t>
  </si>
  <si>
    <t>Y13</t>
  </si>
  <si>
    <t>15</t>
  </si>
  <si>
    <t>Y14</t>
  </si>
  <si>
    <t>16</t>
  </si>
  <si>
    <t>Y15</t>
  </si>
  <si>
    <t>17</t>
  </si>
  <si>
    <t>Y16</t>
  </si>
  <si>
    <t>18</t>
  </si>
  <si>
    <t>Y17</t>
  </si>
  <si>
    <t>19</t>
  </si>
  <si>
    <t>Y18</t>
  </si>
  <si>
    <t>20</t>
  </si>
  <si>
    <t>Y19</t>
  </si>
  <si>
    <t>21</t>
  </si>
  <si>
    <t>Y20</t>
  </si>
  <si>
    <t>22</t>
  </si>
  <si>
    <t>Y21</t>
  </si>
  <si>
    <t>23</t>
  </si>
  <si>
    <t>Y22</t>
  </si>
  <si>
    <t>24</t>
  </si>
  <si>
    <t>Y23</t>
  </si>
  <si>
    <t>25</t>
  </si>
  <si>
    <t>Y24</t>
  </si>
  <si>
    <t>26</t>
  </si>
  <si>
    <t>Y25</t>
  </si>
  <si>
    <t>27</t>
  </si>
  <si>
    <t>Y26</t>
  </si>
  <si>
    <t>28</t>
  </si>
  <si>
    <t>Y27</t>
  </si>
  <si>
    <t>29</t>
  </si>
  <si>
    <t>Y28</t>
  </si>
  <si>
    <t>30</t>
  </si>
  <si>
    <t>Y29</t>
  </si>
  <si>
    <t>31</t>
  </si>
  <si>
    <t>Y30</t>
  </si>
  <si>
    <t>32</t>
  </si>
  <si>
    <t>Y31</t>
  </si>
  <si>
    <t>33</t>
  </si>
  <si>
    <t>Y32</t>
  </si>
  <si>
    <t>34</t>
  </si>
  <si>
    <t>Y33</t>
  </si>
  <si>
    <t>35</t>
  </si>
  <si>
    <t>Y34</t>
  </si>
  <si>
    <t>36</t>
  </si>
  <si>
    <t>Y35</t>
  </si>
  <si>
    <t>37</t>
  </si>
  <si>
    <t>Y36</t>
  </si>
  <si>
    <t>38</t>
  </si>
  <si>
    <t>Y37</t>
  </si>
  <si>
    <t>39</t>
  </si>
  <si>
    <t>Y38</t>
  </si>
  <si>
    <t>40</t>
  </si>
  <si>
    <t>Y39</t>
  </si>
  <si>
    <t>41</t>
  </si>
  <si>
    <t>Y40</t>
  </si>
  <si>
    <t>42</t>
  </si>
  <si>
    <t>Y41</t>
  </si>
  <si>
    <t>43</t>
  </si>
  <si>
    <t>Y42</t>
  </si>
  <si>
    <t>44</t>
  </si>
  <si>
    <t>Y43</t>
  </si>
  <si>
    <t>45</t>
  </si>
  <si>
    <t>Y44</t>
  </si>
  <si>
    <t>46</t>
  </si>
  <si>
    <t>Y45</t>
  </si>
  <si>
    <t>47</t>
  </si>
  <si>
    <t>Y46</t>
  </si>
  <si>
    <t>48</t>
  </si>
  <si>
    <t>Y47</t>
  </si>
  <si>
    <t>49</t>
  </si>
  <si>
    <t>Y48</t>
  </si>
  <si>
    <t>50</t>
  </si>
  <si>
    <t>Y49</t>
  </si>
  <si>
    <t>51</t>
  </si>
  <si>
    <t>Y50</t>
  </si>
  <si>
    <t>52</t>
  </si>
  <si>
    <t>zahlungenTeuerungszulagen</t>
  </si>
  <si>
    <t>Zahlungen der Teuerungszulagen</t>
  </si>
  <si>
    <t>UVG_Calculations</t>
  </si>
  <si>
    <t>Deckungskapital</t>
  </si>
  <si>
    <t>Langfristleistungen</t>
  </si>
  <si>
    <t>Kurzfristleistungen</t>
  </si>
  <si>
    <t>none</t>
  </si>
  <si>
    <t>AuszahlungAnAnderenPoolmitgleider</t>
  </si>
  <si>
    <t>Durchschnittliche Auszahlung an anderen Poolmitglieder</t>
  </si>
  <si>
    <t>UVG_Input_Data</t>
  </si>
  <si>
    <t>D1</t>
  </si>
  <si>
    <t>Text</t>
  </si>
  <si>
    <t>Direction</t>
  </si>
  <si>
    <t>Gives the correct wording for the Auslenkungs richtung depending on the language selected</t>
  </si>
  <si>
    <t>D2</t>
  </si>
  <si>
    <t>GuthabenDesTeuerungsfonds</t>
  </si>
  <si>
    <t>geaeufnetes Guthaben des Teuerungsfonds</t>
  </si>
  <si>
    <t>Umlagebeitraege</t>
  </si>
  <si>
    <t>UVGZins</t>
  </si>
  <si>
    <t>UVG technischer Zins</t>
  </si>
  <si>
    <t>Y-10</t>
  </si>
  <si>
    <t>TenYReturn</t>
  </si>
  <si>
    <t>Return of 10 year Swiss Gov Bonds</t>
  </si>
  <si>
    <t>Y-9</t>
  </si>
  <si>
    <t>Y-8</t>
  </si>
  <si>
    <t>Y-7</t>
  </si>
  <si>
    <t>Y-6</t>
  </si>
  <si>
    <t>Y-5</t>
  </si>
  <si>
    <t>Y-4</t>
  </si>
  <si>
    <t>Y-3</t>
  </si>
  <si>
    <t>Y-2</t>
  </si>
  <si>
    <t>Y-1</t>
  </si>
  <si>
    <t>CHFkurzfristigerZinssatz</t>
  </si>
  <si>
    <t>CHF Zeros  1-5 Y : CHF kurzfristiger Zinssatz</t>
  </si>
  <si>
    <t>CHFmittelfristigerZinssatz</t>
  </si>
  <si>
    <t>CHF Zeros  6-19 Y : CHF mittelfristiger Zinssatz</t>
  </si>
  <si>
    <t>CHFlangfristigerZinssatz</t>
  </si>
  <si>
    <t>CHF Zeros  20-50 Y : CHF langfristiger Zinssatz</t>
  </si>
  <si>
    <t>Auslenkungsintensitaet</t>
  </si>
  <si>
    <t>Value</t>
  </si>
  <si>
    <t>Label</t>
  </si>
  <si>
    <t>Deutsch</t>
  </si>
  <si>
    <t>Français</t>
  </si>
  <si>
    <t>English</t>
  </si>
  <si>
    <t>T.01.9</t>
  </si>
  <si>
    <t>SST-Template für die Bewertung des UVG-Bestandes</t>
  </si>
  <si>
    <t>Modèle SST pour l'évaluation du portefeuille LAA</t>
  </si>
  <si>
    <t>SST template for valuation of the mandatory accident insurance liabilities under the Federal Accident Insurance Act (UVG)</t>
  </si>
  <si>
    <t>_million</t>
  </si>
  <si>
    <t>en mio. CHF</t>
  </si>
  <si>
    <t>in mio. CHF</t>
  </si>
  <si>
    <t>_million1</t>
  </si>
  <si>
    <t xml:space="preserve"> (in Mio. CHF)</t>
  </si>
  <si>
    <t xml:space="preserve"> (en mio. CHF)</t>
  </si>
  <si>
    <t xml:space="preserve"> (in mio. CHF)</t>
  </si>
  <si>
    <t>T.01.1</t>
  </si>
  <si>
    <t>SST-Währung</t>
  </si>
  <si>
    <t>Monnaie du SST</t>
  </si>
  <si>
    <t>SST currency</t>
  </si>
  <si>
    <t>T.01.2</t>
  </si>
  <si>
    <t>Bemerkungen</t>
  </si>
  <si>
    <t>Remarques</t>
  </si>
  <si>
    <t>Comment</t>
  </si>
  <si>
    <t>T.01.3</t>
  </si>
  <si>
    <t>Angaben</t>
  </si>
  <si>
    <t>Données</t>
  </si>
  <si>
    <t>Data</t>
  </si>
  <si>
    <t>T.01.4</t>
  </si>
  <si>
    <t>Parameter</t>
  </si>
  <si>
    <t>Paramètres</t>
  </si>
  <si>
    <t>Parameters</t>
  </si>
  <si>
    <t>T.01.5</t>
  </si>
  <si>
    <t>Eingabe</t>
  </si>
  <si>
    <t>Entrée</t>
  </si>
  <si>
    <t>Input</t>
  </si>
  <si>
    <t>T.01.6</t>
  </si>
  <si>
    <t>Name der Versicherungsgesellschaft</t>
  </si>
  <si>
    <t>Nom de la société d'assurance</t>
  </si>
  <si>
    <t>Name of the insurance company</t>
  </si>
  <si>
    <t>T.01.7</t>
  </si>
  <si>
    <t>Wert</t>
  </si>
  <si>
    <t>Valeur</t>
  </si>
  <si>
    <t>T.01.8</t>
  </si>
  <si>
    <t>Exponierung</t>
  </si>
  <si>
    <t>Exposition</t>
  </si>
  <si>
    <t>Exposure</t>
  </si>
  <si>
    <t>T.01.12</t>
  </si>
  <si>
    <t>Dieses SST-Template enthält Tabellenblätter mit verschiedenen Registerfarben. Es wird die folgende Farbenkonvention verwendet:</t>
  </si>
  <si>
    <t>Ce template SST contient des feuilles avec des onglets de différentes couleurs. La convention suivante s'applique:</t>
  </si>
  <si>
    <t>This SST template includes worksheets with different tab colors. The following color convention is used.</t>
  </si>
  <si>
    <t>T.01.13</t>
  </si>
  <si>
    <t>Tabellenblätter, die vom Versicherungsunternehmen auszufüllen sind.</t>
  </si>
  <si>
    <t>Feuilles que la société d'assurance doit compléter.</t>
  </si>
  <si>
    <t>Worksheets that are to be completed by the insurance company.</t>
  </si>
  <si>
    <t>T.01.14</t>
  </si>
  <si>
    <t xml:space="preserve">Tabellenblätter mit Informationen, Parametern oder Berechnungen. </t>
  </si>
  <si>
    <t>Feuilles avec informations, paramètres ou calculs.</t>
  </si>
  <si>
    <t>Worksheets with information, parameters or calculations.</t>
  </si>
  <si>
    <t>T.01.15</t>
  </si>
  <si>
    <t>En principe ces feuilles ne doivent pas être modifiées.</t>
  </si>
  <si>
    <t>Worksheet nessesary for configuration of this tool. Normally, these worksheets are not to be modified.</t>
  </si>
  <si>
    <t>T.01.16</t>
  </si>
  <si>
    <t>Eingabefelder: In diesen Feldern werden versicherungsspezifische Angaben erwartet.</t>
  </si>
  <si>
    <t>Champs d'entrée: dans ces cellules les données spécifiques à la société d'assurance doivent être entrées.</t>
  </si>
  <si>
    <t>Input fields: These cells ask for insurance company specific information.</t>
  </si>
  <si>
    <t>T.02.1</t>
  </si>
  <si>
    <t>Finanzvariablen und SST-Parameter</t>
  </si>
  <si>
    <t>Variables financières et paramètres SST</t>
  </si>
  <si>
    <t>Financial variables and SST parameters</t>
  </si>
  <si>
    <t>_maturity</t>
  </si>
  <si>
    <t>Fälligkeit (in Jahren)</t>
  </si>
  <si>
    <t>échéance (en années)</t>
  </si>
  <si>
    <t>Time to maturity (in years)</t>
  </si>
  <si>
    <t>_up</t>
  </si>
  <si>
    <t>nach oben</t>
  </si>
  <si>
    <t>en haut</t>
  </si>
  <si>
    <t>up</t>
  </si>
  <si>
    <t>_down</t>
  </si>
  <si>
    <t>nach unten</t>
  </si>
  <si>
    <t>en bas</t>
  </si>
  <si>
    <t>down</t>
  </si>
  <si>
    <t>_shortTerm</t>
  </si>
  <si>
    <t>CHF kurzfristiger Zinssatz</t>
  </si>
  <si>
    <t>CHF taux à court terme</t>
  </si>
  <si>
    <t>CHF short term rate</t>
  </si>
  <si>
    <t>_middleTerm</t>
  </si>
  <si>
    <t>CHF mittelfristiger Zinssatz</t>
  </si>
  <si>
    <t>CHF taux à moyen terme</t>
  </si>
  <si>
    <t>CHF middle term rate</t>
  </si>
  <si>
    <t>_longTerm</t>
  </si>
  <si>
    <t>CHF langfristiger Zinssatz</t>
  </si>
  <si>
    <t>CHF taux à long terme</t>
  </si>
  <si>
    <t>CHF long term rate</t>
  </si>
  <si>
    <t>T.02.2</t>
  </si>
  <si>
    <t>T.02.3</t>
  </si>
  <si>
    <t>Diskontfaktoren auf Basis der risikolosen Zinskurve r(t); Diskontfunktion n(t) = (1+r(t))^(-t)</t>
  </si>
  <si>
    <t>Facteurs d'actualisation basés sur les taux d'interêts sans risque r(t); 
fonction d'actualisation n(t) = (1+r(t))^(-t)</t>
  </si>
  <si>
    <t>Discount factors based on the risk-free interest rates r(t); discount function n(t) = (1+r(t))^(-t)</t>
  </si>
  <si>
    <t>T.02.4</t>
  </si>
  <si>
    <t>Historische Rendite Bundesobligationen Eidgenossenschaft</t>
  </si>
  <si>
    <t>Rendement des obligations de la Confédération</t>
  </si>
  <si>
    <t>Yield on Swiss Confederation bonds</t>
  </si>
  <si>
    <t>T.02.5</t>
  </si>
  <si>
    <t>Kassazinssatz bei einer Laufzeit von 10 Jahre</t>
  </si>
  <si>
    <t>Taux d'intérêt au comptant pour une durée résiduelle de 10 ans</t>
  </si>
  <si>
    <t>Spot interest rate for 10-year maturities</t>
  </si>
  <si>
    <t>T.02.6</t>
  </si>
  <si>
    <t>Moyenne des rendements des obligations de la Confédération à 10 ans sur les 10 dernières années au 31.12.2023</t>
  </si>
  <si>
    <t>T.02.7</t>
  </si>
  <si>
    <t>phi 10/10-Zinsen</t>
  </si>
  <si>
    <t>Taux phi 10/10</t>
  </si>
  <si>
    <t>phi 10/10-rates</t>
  </si>
  <si>
    <t>T.02.8</t>
  </si>
  <si>
    <t>T.02.9</t>
  </si>
  <si>
    <t xml:space="preserve">Verbraucherpreisinflation CHF </t>
  </si>
  <si>
    <t>Inflation CHF</t>
  </si>
  <si>
    <t>Consumer price inflation CHF</t>
  </si>
  <si>
    <t>T.02.10</t>
  </si>
  <si>
    <t>UVG technischer Zins z(0) und Diskontfaktoren auf Basis z(0); Diskontfunktion: n(t) = (1+z(0))^(-t)</t>
  </si>
  <si>
    <t>Taux technique de la LAA z(0) et facteurs d'actualisation sur la base z(0); fonction d'actualisation: n(t) = (1+z(0))^(-t)</t>
  </si>
  <si>
    <t>UVG technical rate z(0) and discount factors based on z(0): Discounting function: n(t) = (1+z(0))^(-t)</t>
  </si>
  <si>
    <t>T.02.11</t>
  </si>
  <si>
    <t xml:space="preserve">UVG technischer Zins </t>
  </si>
  <si>
    <t>Taux technique de la LAA</t>
  </si>
  <si>
    <t>UVG technical rate</t>
  </si>
  <si>
    <t>T.02.12</t>
  </si>
  <si>
    <t>Diskonfaktoren</t>
  </si>
  <si>
    <t xml:space="preserve">Facteurs d'actualisation </t>
  </si>
  <si>
    <t>Discounting rates</t>
  </si>
  <si>
    <t>T.02.13</t>
  </si>
  <si>
    <t>Pourcentage pour les contributions de répartition (supplément de prime) au 1.01.2024</t>
  </si>
  <si>
    <t>T.02.14</t>
  </si>
  <si>
    <t xml:space="preserve">Déviation des taux d'intérêt: CHF </t>
  </si>
  <si>
    <t>Change in risk factors: CHF interest rates</t>
  </si>
  <si>
    <t>T.02.15</t>
  </si>
  <si>
    <t>Auslenkungsintensität in bp</t>
  </si>
  <si>
    <t>Intensité de la déviation en points de base</t>
  </si>
  <si>
    <t>Change intensity in bp</t>
  </si>
  <si>
    <t>T.02.16</t>
  </si>
  <si>
    <t>Risikofaktor</t>
  </si>
  <si>
    <t>Facteur de risque</t>
  </si>
  <si>
    <t>Risk factor</t>
  </si>
  <si>
    <t>T.02.17</t>
  </si>
  <si>
    <t>Auslenkungs richtung</t>
  </si>
  <si>
    <t xml:space="preserve">Sens de la déviation </t>
  </si>
  <si>
    <t>Change direction</t>
  </si>
  <si>
    <t>T.02.18</t>
  </si>
  <si>
    <t>Zinsinterval</t>
  </si>
  <si>
    <t xml:space="preserve">Intervalle </t>
  </si>
  <si>
    <t>Interval</t>
  </si>
  <si>
    <t>T.02.19</t>
  </si>
  <si>
    <t>Jahr</t>
  </si>
  <si>
    <t>Année</t>
  </si>
  <si>
    <t>Year</t>
  </si>
  <si>
    <t>T.03.1</t>
  </si>
  <si>
    <t>UVG-Inputdaten</t>
  </si>
  <si>
    <t xml:space="preserve">Données d'entrée LAA </t>
  </si>
  <si>
    <t>UVG Input Data</t>
  </si>
  <si>
    <t>_neurente</t>
  </si>
  <si>
    <t xml:space="preserve">Neurente im Jahr </t>
  </si>
  <si>
    <t xml:space="preserve">Nouvelles rentes de l'année </t>
  </si>
  <si>
    <t xml:space="preserve">New annuities in year </t>
  </si>
  <si>
    <t>T.03.2</t>
  </si>
  <si>
    <t>Stichtag</t>
  </si>
  <si>
    <t>Date de référence</t>
  </si>
  <si>
    <t>Reporting date</t>
  </si>
  <si>
    <t>T.03.3</t>
  </si>
  <si>
    <t>Réserve mathématique (capital de couverture) pour la rente de base</t>
  </si>
  <si>
    <t>T.03.4</t>
  </si>
  <si>
    <t>Best Estimate-Wert der Grundrente</t>
  </si>
  <si>
    <t>Valeur best estimate de la rente de base</t>
  </si>
  <si>
    <t>T.03.5</t>
  </si>
  <si>
    <t>T.03.6</t>
  </si>
  <si>
    <t>T.03.7</t>
  </si>
  <si>
    <t>T.03.8</t>
  </si>
  <si>
    <t>T.03.9</t>
  </si>
  <si>
    <t xml:space="preserve">          übrige Langfristleistungen</t>
  </si>
  <si>
    <t xml:space="preserve">      Remaining log term liabilities</t>
  </si>
  <si>
    <t>T.03.10</t>
  </si>
  <si>
    <t>T.03.11</t>
  </si>
  <si>
    <t>geäufnetes Guthaben des Teuerungsfonds</t>
  </si>
  <si>
    <t>Avoir accumulé du fonds de renchérissement</t>
  </si>
  <si>
    <t>Accrued assets of the dearness funds</t>
  </si>
  <si>
    <t>T.03.12</t>
  </si>
  <si>
    <t>T.03.13</t>
  </si>
  <si>
    <t>T.03.14</t>
  </si>
  <si>
    <t>Zahlungsströme</t>
  </si>
  <si>
    <t>Cash flows</t>
  </si>
  <si>
    <t>T.03.15</t>
  </si>
  <si>
    <t>T.03.16</t>
  </si>
  <si>
    <t>T.03.17</t>
  </si>
  <si>
    <t>T.03.18</t>
  </si>
  <si>
    <t>Durchschnittliche Auszahlung an andere Poolmitglieder (in Mio. CHF)</t>
  </si>
  <si>
    <t>Average payment to other pool members (in mio. CHF)</t>
  </si>
  <si>
    <t>T.03.19</t>
  </si>
  <si>
    <t>T.03.20</t>
  </si>
  <si>
    <t xml:space="preserve">Verpflichtungen des UVG-Bestandes </t>
  </si>
  <si>
    <t>Engagements du portefeuille LAA</t>
  </si>
  <si>
    <t>Obligations of the UVG portfolio</t>
  </si>
  <si>
    <t>T.03.21</t>
  </si>
  <si>
    <t>Valeurs statutaires</t>
  </si>
  <si>
    <t>T.03.22</t>
  </si>
  <si>
    <t>Valeurs best estimate non actualisées</t>
  </si>
  <si>
    <t>T.03.24</t>
  </si>
  <si>
    <t>Schadenrückstellung Total</t>
  </si>
  <si>
    <t>Provision totale</t>
  </si>
  <si>
    <t>Claim provision total</t>
  </si>
  <si>
    <t>T.03.25</t>
  </si>
  <si>
    <t>Année de versement</t>
  </si>
  <si>
    <t>Payment year</t>
  </si>
  <si>
    <t>T.04.1</t>
  </si>
  <si>
    <t>LAA évaluation à t=0</t>
  </si>
  <si>
    <t>Valuation of the UVG Liabilities at t=0</t>
  </si>
  <si>
    <t>T.04.2</t>
  </si>
  <si>
    <t>T.04.3</t>
  </si>
  <si>
    <t>Barwertfaktor</t>
  </si>
  <si>
    <t>Facteur d'actualisation</t>
  </si>
  <si>
    <t>Present values factor</t>
  </si>
  <si>
    <t>T.04.4</t>
  </si>
  <si>
    <t>Valeur actualisée</t>
  </si>
  <si>
    <t>discounted</t>
  </si>
  <si>
    <t>T.04.5</t>
  </si>
  <si>
    <t xml:space="preserve">Valeur non actualisée </t>
  </si>
  <si>
    <t xml:space="preserve">non-discounted </t>
  </si>
  <si>
    <t>T.04.6</t>
  </si>
  <si>
    <t>Best Estimate-Wert der Teuerungszulagen</t>
  </si>
  <si>
    <t>Valeur best estimate de compris les allocations de renchérissement</t>
  </si>
  <si>
    <t>Best Estimate value of the inflation allowance</t>
  </si>
  <si>
    <t>T.04.7</t>
  </si>
  <si>
    <t>Barwert des Teuerungsfonds am Ende der Abwicklung</t>
  </si>
  <si>
    <t>Valeur actualisée fonds de renchérissement</t>
  </si>
  <si>
    <t>Present value of the Inflation Funds at the end of runoff</t>
  </si>
  <si>
    <t>T.04.8</t>
  </si>
  <si>
    <t>Total UVG-Verpflichtungen</t>
  </si>
  <si>
    <t>engagements du portefeuille LAA</t>
  </si>
  <si>
    <t>Total obligations of the UVG portfolio</t>
  </si>
  <si>
    <t>T.04.9</t>
  </si>
  <si>
    <t>Paiements pour les pensions existantes au 1.01.2024</t>
  </si>
  <si>
    <t>T.04.10</t>
  </si>
  <si>
    <t>Paiements pour les nouvelles pensions à partir du 1.01.2024</t>
  </si>
  <si>
    <t>T.04.11</t>
  </si>
  <si>
    <t>Zahlungen der Teuerungszulagen, davon</t>
  </si>
  <si>
    <t>Paiements des allocations de renchérissement, dont</t>
  </si>
  <si>
    <t>Payments of inflation allowence, thereof</t>
  </si>
  <si>
    <t>T.04.12</t>
  </si>
  <si>
    <t>Allocations de renchérissement accordées jusqu'au 1.01.2024</t>
  </si>
  <si>
    <t>T.04.13</t>
  </si>
  <si>
    <t>Allocations de renchérissement attribuées à partir du 1.01.2024, dont</t>
  </si>
  <si>
    <t>T.04.14</t>
  </si>
  <si>
    <t>für bisherigen Renten</t>
  </si>
  <si>
    <t>pour les anciennes rentes</t>
  </si>
  <si>
    <t>for previous annuities</t>
  </si>
  <si>
    <t>T.04.15</t>
  </si>
  <si>
    <t>für neue Renten</t>
  </si>
  <si>
    <t>pour les nouvelles rentes</t>
  </si>
  <si>
    <t>for new annuities</t>
  </si>
  <si>
    <t>T.04.16</t>
  </si>
  <si>
    <t>Zinseinnahmen, davon</t>
  </si>
  <si>
    <t>Recettes d'intérêt, dont</t>
  </si>
  <si>
    <t>Interest income, thereof</t>
  </si>
  <si>
    <t>T.04.17</t>
  </si>
  <si>
    <t>Zinsüberschüsse</t>
  </si>
  <si>
    <t>Excédents d'intérêt</t>
  </si>
  <si>
    <r>
      <t>Inte</t>
    </r>
    <r>
      <rPr>
        <sz val="9"/>
        <color rgb="FF181818"/>
        <rFont val="Arial"/>
        <family val="2"/>
      </rPr>
      <t>res</t>
    </r>
    <r>
      <rPr>
        <sz val="9"/>
        <color rgb="FF0C0C0C"/>
        <rFont val="Arial"/>
        <family val="2"/>
      </rPr>
      <t>t surpluses </t>
    </r>
  </si>
  <si>
    <t>T.04.18</t>
  </si>
  <si>
    <t>Zusatzfinanzierung</t>
  </si>
  <si>
    <t>Financement de l'intérêt supplémentaire</t>
  </si>
  <si>
    <t>Additional financing</t>
  </si>
  <si>
    <t>T.04.19</t>
  </si>
  <si>
    <t>Zinserträge auf Teuerungsfonds</t>
  </si>
  <si>
    <t>Fonds de renchérissement</t>
  </si>
  <si>
    <t>Interest income on Inflation Funds</t>
  </si>
  <si>
    <t>T.04.20</t>
  </si>
  <si>
    <t>Umlagebeiträge</t>
  </si>
  <si>
    <t>Contributions de répartition</t>
  </si>
  <si>
    <t>Premium surcharge</t>
  </si>
  <si>
    <t>T.04.21</t>
  </si>
  <si>
    <t>Ausgleichszahlungen</t>
  </si>
  <si>
    <t>Payements de compensation</t>
  </si>
  <si>
    <t xml:space="preserve">Financial compensation </t>
  </si>
  <si>
    <t>T.04.22</t>
  </si>
  <si>
    <t>Auszahlung des Teuerungsfonds am Ende der Abwicklung</t>
  </si>
  <si>
    <t>Inflation Funds</t>
  </si>
  <si>
    <t>T.04.23</t>
  </si>
  <si>
    <t>Inkrementelle Zahlungsflüsse (in Mio. CHF; jeweils am Ende des Jahres)</t>
  </si>
  <si>
    <t>Cash flows Cash flows incrémentaux (en millions de CHF ; à la fin de chaque année)</t>
  </si>
  <si>
    <t>Incremental cash flows (in mio. CHF; by end of the year)</t>
  </si>
  <si>
    <t>T.04.24</t>
  </si>
  <si>
    <t>Entwicklung der Verpflichtungen über die Zeit (in Mio. CHF; jeweils am Anfang des Jahres)</t>
  </si>
  <si>
    <t>Évolution des engagements dans le temps (en millions de CHF ; au début de chaque année)</t>
  </si>
  <si>
    <t>Liability run off over the time (in mio. CHF; at the beginning of the year)</t>
  </si>
  <si>
    <t>T.04.25</t>
  </si>
  <si>
    <t>Statutarische Deckungskapital für Grundrente, davon</t>
  </si>
  <si>
    <t xml:space="preserve">Réserve mathématique (capital de couverture) pour la rente de base, </t>
  </si>
  <si>
    <t>Statutory reserve for the base annuitiy, thereof</t>
  </si>
  <si>
    <t>T.04.26</t>
  </si>
  <si>
    <t>Stand des Teuerungsfonds</t>
  </si>
  <si>
    <t>_start</t>
  </si>
  <si>
    <t xml:space="preserve">Anfang </t>
  </si>
  <si>
    <t>Début</t>
  </si>
  <si>
    <t xml:space="preserve">Beginn of </t>
  </si>
  <si>
    <t>_end</t>
  </si>
  <si>
    <t xml:space="preserve">Ende </t>
  </si>
  <si>
    <t xml:space="preserve">Fin </t>
  </si>
  <si>
    <t xml:space="preserve">End of </t>
  </si>
  <si>
    <t>Statutarisches Deckungskapital für künftige Neurenten ab dem Jahr 2024 (in Mio. CHF; jeweils am Ende des Jahres)</t>
  </si>
  <si>
    <t>Inflationskurve CHF (spot rates)</t>
  </si>
  <si>
    <t>T.03.26</t>
  </si>
  <si>
    <t>Statutory reserve for the base annuity</t>
  </si>
  <si>
    <t>Best estimate of the base annuity</t>
  </si>
  <si>
    <t>Statutory reserve for the future annuities (in mio. CHF; at the end of each year)</t>
  </si>
  <si>
    <t>T.02.20</t>
  </si>
  <si>
    <t>Inflation curve CHF (spot rates)</t>
  </si>
  <si>
    <t>Inflation CHF (spot rates)</t>
  </si>
  <si>
    <t>Allocations de renchérissement fixées</t>
  </si>
  <si>
    <t>Stipulated dearness allowances</t>
  </si>
  <si>
    <t>Festgesetzte Teuerungszulagen</t>
  </si>
  <si>
    <t xml:space="preserve">          künftige Rentenfälle</t>
  </si>
  <si>
    <t xml:space="preserve">      Future annuities</t>
  </si>
  <si>
    <t>autres préstations à long terme</t>
  </si>
  <si>
    <t>Schadenrückstellung für Langfristleistungen</t>
  </si>
  <si>
    <t>Schadenrückstellung für Kurzfristleistungen</t>
  </si>
  <si>
    <t>Schadenrückstellung für Langfristleistungen, davon</t>
  </si>
  <si>
    <t>Übrige Schadenrückstellung für Langfristleistungen</t>
  </si>
  <si>
    <t>T.03.27</t>
  </si>
  <si>
    <t>ULAE Rückstellungen</t>
  </si>
  <si>
    <t>ULAE reserves</t>
  </si>
  <si>
    <t>Other reserves of long term liabilities</t>
  </si>
  <si>
    <t>Entry provision for long term benefits</t>
  </si>
  <si>
    <t>Entry provision for short term benefits</t>
  </si>
  <si>
    <t>Provision for long term benefits, thereof</t>
  </si>
  <si>
    <t>Provision initiale pour les prestations à long terme</t>
  </si>
  <si>
    <t>Provision initiale pour les prestations à court terme</t>
  </si>
  <si>
    <t>Provision pour les prestations à long terme, dont</t>
  </si>
  <si>
    <t>Statutarisches Deckungskapital für Grundrente</t>
  </si>
  <si>
    <t>T.04.27</t>
  </si>
  <si>
    <t>Best Estimate-Wert der Ausgleichszahlungen</t>
  </si>
  <si>
    <t xml:space="preserve">Best Estimate value of the financial compensation </t>
  </si>
  <si>
    <t>eigenfinanziert</t>
  </si>
  <si>
    <t>T.03.28</t>
  </si>
  <si>
    <t>Valeurs best estimate actualisées</t>
  </si>
  <si>
    <t>Best estimate values discounted</t>
  </si>
  <si>
    <t>Best estimate values non-discounted</t>
  </si>
  <si>
    <t>Tabellenblatt, der für Steuerung des Tools notwendig ist. Die Tabelle ist nicht zu ändern.</t>
  </si>
  <si>
    <t>Auslenkung der Risikofaktoren: CHF-Zinssatz</t>
  </si>
  <si>
    <t>Bewertung der UVG-Verpflichtungen am t=0</t>
  </si>
  <si>
    <t>Eingabe für das Blatt "NL_Input_SST_Template" / II.b Versicherungstechnische Zahlungsflüsse aus dem Risikomodell
Entrées pour la feuille Excel "NL_Input_SST_Template" / II.b cash flows d'assurance issus du modèle de risque comme</t>
  </si>
  <si>
    <t>Auszahlungsjahr</t>
  </si>
  <si>
    <t>T.04.28</t>
  </si>
  <si>
    <t>T.04.29</t>
  </si>
  <si>
    <t>rentes futures</t>
  </si>
  <si>
    <t xml:space="preserve">Provision restante </t>
  </si>
  <si>
    <t xml:space="preserve">Provision ULAE </t>
  </si>
  <si>
    <t>Valeur best estimate des payements de compensation</t>
  </si>
  <si>
    <t>autofinancée</t>
  </si>
  <si>
    <t>T.04.30</t>
  </si>
  <si>
    <t>Best Estimate-Wert der Umlagebeiträge</t>
  </si>
  <si>
    <t>Valeur best estimate des contributions de répartition</t>
  </si>
  <si>
    <t>Best Estimate value of the premium surcharge</t>
  </si>
  <si>
    <t>finanziert durch eingehende Umlagebeitäge und Ausgleichszahlungen</t>
  </si>
  <si>
    <t>Deckungskapital fuer Grundrente am 1.1</t>
  </si>
  <si>
    <t>Eingangsschadenrueckstellung fuer Langfristleistungen am 1.1</t>
  </si>
  <si>
    <t>Eingangsschadenrueckstellung fuer Kurzfristleistungen am 1.1</t>
  </si>
  <si>
    <t>Auslenkungsintensiteat in bp</t>
  </si>
  <si>
    <t>Neurente im Jahr 2024</t>
  </si>
  <si>
    <t>Neurente im Jahr 2025</t>
  </si>
  <si>
    <t>Neurente im Jahr 2026</t>
  </si>
  <si>
    <t>Neurente im Jahr 2027</t>
  </si>
  <si>
    <t>Neurente im Jahr 2028</t>
  </si>
  <si>
    <t>Neurente im Jahr 2029</t>
  </si>
  <si>
    <t>Neurente im Jahr 2030</t>
  </si>
  <si>
    <t>Neurente im Jahr 2031</t>
  </si>
  <si>
    <t>Neurente im Jahr 2032</t>
  </si>
  <si>
    <t>Neurente im Jahr 2033</t>
  </si>
  <si>
    <t>Neurente im Jahr 2034</t>
  </si>
  <si>
    <t>Neurente im Jahr 2035</t>
  </si>
  <si>
    <t>Neurente im Jahr 2036</t>
  </si>
  <si>
    <t>Neurente im Jahr 2037</t>
  </si>
  <si>
    <t>Neurente im Jahr 2038</t>
  </si>
  <si>
    <t>Neurente im Jahr 2039</t>
  </si>
  <si>
    <t>Neurente im Jahr 2040</t>
  </si>
  <si>
    <t>Neurente im Jahr 2041</t>
  </si>
  <si>
    <t>Neurente im Jahr 2042</t>
  </si>
  <si>
    <t>Neurente im Jahr 2043</t>
  </si>
  <si>
    <t>Neurente im Jahr 2044</t>
  </si>
  <si>
    <t>Bewertungsjahr</t>
  </si>
  <si>
    <t>Eingabe für das SST-Template  / Entrées pour SST-Template</t>
  </si>
  <si>
    <t>Eingabe für das Blatt "NL_Input_SST_Template" / III. Vorgeschlagene Zahlungsflüsse PY, CY &amp; URR 
Entrées pour la feuille Excel "NL_Input_SST_Template" / III. Flux de paiements proposés PY, CY &amp; URR</t>
  </si>
  <si>
    <t>T.03.29</t>
  </si>
  <si>
    <t>Valuation year</t>
  </si>
  <si>
    <t>Année d'évaluation</t>
  </si>
  <si>
    <t>Check der Bilanzposition (145) im SST-Template  / Vérification de l'entrée (145) du SST-Template</t>
  </si>
  <si>
    <t>financée par des contributions de répartition et des payements de compensation</t>
  </si>
  <si>
    <t>Negative</t>
  </si>
  <si>
    <t>Name</t>
  </si>
  <si>
    <t>2</t>
  </si>
  <si>
    <t>Empty</t>
  </si>
  <si>
    <t>StatDeckungskapital</t>
  </si>
  <si>
    <t>Statutarisches Deckungskapital fuer Grundrente</t>
  </si>
  <si>
    <t>BarwerteBEWerte</t>
  </si>
  <si>
    <t>Barwerte - Best Estimate Werte</t>
  </si>
  <si>
    <t>BEWert</t>
  </si>
  <si>
    <t>FestgesetzteTeuerungszulagen</t>
  </si>
  <si>
    <t>Empty,Zero</t>
  </si>
  <si>
    <t>checkGuthabenDesTeuerungsfonds</t>
  </si>
  <si>
    <t>InkZahlungsmusterLeistungen</t>
  </si>
  <si>
    <t>Inkrementelle Zahlungsmuster fuer Leistungen</t>
  </si>
  <si>
    <t>Auszahlungsjahr0</t>
  </si>
  <si>
    <t>Auszahlungsjahr1</t>
  </si>
  <si>
    <t>Auszahlungsjahr2</t>
  </si>
  <si>
    <t>Auszahlungsjahr3</t>
  </si>
  <si>
    <t>Auszahlungsjahr4</t>
  </si>
  <si>
    <t>Auszahlungsjahr5</t>
  </si>
  <si>
    <t>Auszahlungsjahr6</t>
  </si>
  <si>
    <t>Auszahlungsjahr7</t>
  </si>
  <si>
    <t>Auszahlungsjahr8</t>
  </si>
  <si>
    <t>Auszahlungsjahr9</t>
  </si>
  <si>
    <t>Auszahlungsjahr10</t>
  </si>
  <si>
    <t>Auszahlungsjahr11</t>
  </si>
  <si>
    <t>Auszahlungsjahr12</t>
  </si>
  <si>
    <t>Auszahlungsjahr13</t>
  </si>
  <si>
    <t>Auszahlungsjahr14</t>
  </si>
  <si>
    <t>Auszahlungsjahr15</t>
  </si>
  <si>
    <t>Auszahlungsjahr16</t>
  </si>
  <si>
    <t>Auszahlungsjahr17</t>
  </si>
  <si>
    <t>Auszahlungsjahr18</t>
  </si>
  <si>
    <t>Auszahlungsjahr19</t>
  </si>
  <si>
    <t>Auszahlungsjahr20</t>
  </si>
  <si>
    <t>Auszahlungsjahr21</t>
  </si>
  <si>
    <t>Auszahlungsjahr22</t>
  </si>
  <si>
    <t>Auszahlungsjahr23</t>
  </si>
  <si>
    <t>Auszahlungsjahr24</t>
  </si>
  <si>
    <t>Auszahlungsjahr25</t>
  </si>
  <si>
    <t>Auszahlungsjahr26</t>
  </si>
  <si>
    <t>Auszahlungsjahr27</t>
  </si>
  <si>
    <t>Auszahlungsjahr28</t>
  </si>
  <si>
    <t>Auszahlungsjahr29</t>
  </si>
  <si>
    <t>Auszahlungsjahr30</t>
  </si>
  <si>
    <t>Auszahlungsjahr31</t>
  </si>
  <si>
    <t>Auszahlungsjahr32</t>
  </si>
  <si>
    <t>Auszahlungsjahr33</t>
  </si>
  <si>
    <t>Auszahlungsjahr34</t>
  </si>
  <si>
    <t>Auszahlungsjahr35</t>
  </si>
  <si>
    <t>Auszahlungsjahr36</t>
  </si>
  <si>
    <t>Auszahlungsjahr37</t>
  </si>
  <si>
    <t>Auszahlungsjahr38</t>
  </si>
  <si>
    <t>Auszahlungsjahr39</t>
  </si>
  <si>
    <t>Auszahlungsjahr40</t>
  </si>
  <si>
    <t>Auszahlungsjahr41</t>
  </si>
  <si>
    <t>Auszahlungsjahr42</t>
  </si>
  <si>
    <t>Auszahlungsjahr43</t>
  </si>
  <si>
    <t>Auszahlungsjahr44</t>
  </si>
  <si>
    <t>Auszahlungsjahr45</t>
  </si>
  <si>
    <t>Auszahlungsjahr46</t>
  </si>
  <si>
    <t>Auszahlungsjahr47</t>
  </si>
  <si>
    <t>Auszahlungsjahr48</t>
  </si>
  <si>
    <t>Auszahlungsjahr49</t>
  </si>
  <si>
    <t>UmlagebeitragY0</t>
  </si>
  <si>
    <t>Umlagebeitrag</t>
  </si>
  <si>
    <t>NeurenteY0</t>
  </si>
  <si>
    <t>Inkrementelle Zahlungsmuster fuer kuenftige Neurenten</t>
  </si>
  <si>
    <t>NeurenteY1</t>
  </si>
  <si>
    <t>NeurenteY2</t>
  </si>
  <si>
    <t>NeurenteY3</t>
  </si>
  <si>
    <t>NeurenteY4</t>
  </si>
  <si>
    <t>NeurenteY5</t>
  </si>
  <si>
    <t>NeurenteY6</t>
  </si>
  <si>
    <t>NeurenteY7</t>
  </si>
  <si>
    <t>NeurenteY8</t>
  </si>
  <si>
    <t>NeurenteY9</t>
  </si>
  <si>
    <t>NeurenteY10</t>
  </si>
  <si>
    <t>NeurenteY11</t>
  </si>
  <si>
    <t>NeurenteY12</t>
  </si>
  <si>
    <t>NeurenteY13</t>
  </si>
  <si>
    <t>53</t>
  </si>
  <si>
    <t>NeurenteY14</t>
  </si>
  <si>
    <t>54</t>
  </si>
  <si>
    <t>NeurenteY15</t>
  </si>
  <si>
    <t>55</t>
  </si>
  <si>
    <t>NeurenteY16</t>
  </si>
  <si>
    <t>56</t>
  </si>
  <si>
    <t>NeurenteY17</t>
  </si>
  <si>
    <t>57</t>
  </si>
  <si>
    <t>NeurenteY18</t>
  </si>
  <si>
    <t>58</t>
  </si>
  <si>
    <t>NeurenteY19</t>
  </si>
  <si>
    <t>59</t>
  </si>
  <si>
    <t>NeurenteY20</t>
  </si>
  <si>
    <t>60</t>
  </si>
  <si>
    <t>InkZahlungsmusterRestlicheLangfrist</t>
  </si>
  <si>
    <t>Inkrementelle Zahlungsmuster fuer restliche Langfristrueckstellungen</t>
  </si>
  <si>
    <t>67</t>
  </si>
  <si>
    <t>T.05.01</t>
  </si>
  <si>
    <t>Aktualisierungsliste</t>
  </si>
  <si>
    <t>Liste des mises-à-jour</t>
  </si>
  <si>
    <t>Update list</t>
  </si>
  <si>
    <t>Datum</t>
  </si>
  <si>
    <t>Date</t>
  </si>
  <si>
    <t>Zelle/Bereich</t>
  </si>
  <si>
    <t>Cellule/plage</t>
  </si>
  <si>
    <t>Cell/range</t>
  </si>
  <si>
    <t>Bemerkung</t>
  </si>
  <si>
    <t>Remarque</t>
  </si>
  <si>
    <t>T.05.02</t>
  </si>
  <si>
    <t>T.05.03</t>
  </si>
  <si>
    <t>T.05.04</t>
  </si>
  <si>
    <t>Nr.</t>
  </si>
  <si>
    <t>T.05.05</t>
  </si>
  <si>
    <t>Tabellenblatt</t>
  </si>
  <si>
    <t>Feuille de calcul</t>
  </si>
  <si>
    <t>Worksheet</t>
  </si>
  <si>
    <t>Zeilen 4-28</t>
  </si>
  <si>
    <t>Eingabe der akteullen Parameter: Zinskurve, historische Kassazinsen, Phi10/10-Zinsen, Verbraucherpreisinflation, Inflationskurve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</si>
</sst>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.00_);_(* \(#,##0.00\);_(* &quot;-&quot;??_);_(@_)"/>
    <numFmt numFmtId="165" formatCode="0.000"/>
    <numFmt numFmtId="166" formatCode="_-* #,##0.0_-;\-* #,##0.0_-;_-* &quot;-&quot;??_-;_-@_-"/>
    <numFmt numFmtId="167" formatCode="0.0%"/>
    <numFmt numFmtId="168" formatCode="0.0000000"/>
    <numFmt numFmtId="169" formatCode="0.000000"/>
    <numFmt numFmtId="170" formatCode="[$-807]d/\ mmmm\ yyyy;@"/>
    <numFmt numFmtId="171" formatCode="0.000%"/>
    <numFmt numFmtId="172" formatCode="_(* #,##0.000_);_(* \(#,##0.000\);_(* &quot;-&quot;??_);_(@_)"/>
    <numFmt numFmtId="173" formatCode="_ * #,##0.000000_ ;_ * \-#,##0.000000_ ;_ * &quot;-&quot;??_ ;_ @_ "/>
    <numFmt numFmtId="174" formatCode="0.00000"/>
    <numFmt numFmtId="175" formatCode="0.000000000000"/>
    <numFmt numFmtId="176" formatCode="d/mm/yy;@"/>
  </numFmts>
  <fonts count="25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u/>
      <sz val="10"/>
      <color theme="10"/>
      <name val="Arial"/>
      <family val="2"/>
    </font>
    <font>
      <b/>
      <u/>
      <sz val="16"/>
      <color rgb="FF002D64"/>
      <name val="Arial"/>
      <family val="2"/>
    </font>
    <font>
      <sz val="11"/>
      <color theme="1"/>
      <name val="Calibri"/>
      <family val="2"/>
      <scheme val="minor"/>
    </font>
    <font>
      <b/>
      <sz val="16"/>
      <color rgb="FF002D64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b/>
      <sz val="16"/>
      <color rgb="FF002060"/>
      <name val="Arial"/>
      <family val="2"/>
    </font>
    <font>
      <b/>
      <sz val="12"/>
      <name val="Arial"/>
      <family val="2"/>
    </font>
    <font>
      <sz val="11"/>
      <color rgb="FFFFFFFF"/>
      <name val="Calibri"/>
      <family val="2"/>
      <scheme val="minor"/>
    </font>
    <font>
      <i/>
      <sz val="10"/>
      <color theme="1"/>
      <name val="Arial"/>
      <family val="2"/>
    </font>
    <font>
      <sz val="10"/>
      <color theme="1"/>
      <name val="Arial Unicode MS"/>
    </font>
    <font>
      <sz val="8"/>
      <name val="Arial"/>
      <family val="2"/>
    </font>
    <font>
      <sz val="9"/>
      <color rgb="FF181818"/>
      <name val="Arial"/>
      <family val="2"/>
    </font>
    <font>
      <sz val="9"/>
      <color rgb="FF0C0C0C"/>
      <name val="Arial"/>
      <family val="2"/>
    </font>
    <font>
      <b/>
      <sz val="16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539E"/>
        <bgColor indexed="64"/>
      </patternFill>
    </fill>
    <fill>
      <patternFill patternType="solid">
        <fgColor rgb="FFD4ECF9"/>
        <bgColor indexed="64"/>
      </patternFill>
    </fill>
    <fill>
      <patternFill patternType="solid">
        <fgColor rgb="FFFDE2CE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2D3EE"/>
        <bgColor indexed="64"/>
      </patternFill>
    </fill>
    <fill>
      <patternFill patternType="solid">
        <fgColor rgb="FF3E3E5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rgb="FFFFFFFF"/>
      </left>
      <right/>
      <top style="thin">
        <color rgb="FFBFBFBF"/>
      </top>
      <bottom style="thin">
        <color rgb="FFBFBFBF"/>
      </bottom>
      <diagonal/>
    </border>
    <border>
      <left style="thin">
        <color rgb="FFFFFFFF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rgb="FFBFBFBF"/>
      </bottom>
      <diagonal/>
    </border>
    <border>
      <left/>
      <right style="thin">
        <color theme="0"/>
      </right>
      <top style="thin">
        <color rgb="FFFFFFFF"/>
      </top>
      <bottom style="thin">
        <color rgb="FFFFFFFF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FFFFFF"/>
      </left>
      <right/>
      <top style="thin">
        <color rgb="FFFFFFFF"/>
      </top>
      <bottom style="thin">
        <color rgb="FFBFBFBF"/>
      </bottom>
      <diagonal/>
    </border>
    <border>
      <left/>
      <right/>
      <top style="thin">
        <color rgb="FFFFFFFF"/>
      </top>
      <bottom style="thin">
        <color rgb="FFBFBFB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rgb="FFFFFFFF"/>
      </top>
      <bottom style="thin">
        <color theme="0"/>
      </bottom>
      <diagonal/>
    </border>
    <border>
      <left/>
      <right/>
      <top style="thin">
        <color rgb="FFFFFFFF"/>
      </top>
      <bottom style="thin">
        <color theme="0"/>
      </bottom>
      <diagonal/>
    </border>
    <border>
      <left/>
      <right style="thin">
        <color theme="0"/>
      </right>
      <top style="thin">
        <color rgb="FFFFFFFF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rgb="FFBFBFBF"/>
      </top>
      <bottom style="thin">
        <color theme="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A7B1BD"/>
      </top>
      <bottom style="thin">
        <color rgb="FFA7B1BD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</cellStyleXfs>
  <cellXfs count="240">
    <xf numFmtId="0" fontId="0" fillId="0" borderId="0" xfId="0"/>
    <xf numFmtId="0" fontId="6" fillId="0" borderId="0" xfId="3" applyFont="1" applyAlignment="1">
      <alignment horizontal="center" vertical="center"/>
    </xf>
    <xf numFmtId="0" fontId="8" fillId="0" borderId="0" xfId="4" applyFont="1" applyAlignment="1">
      <alignment horizontal="left" vertical="center"/>
    </xf>
    <xf numFmtId="0" fontId="9" fillId="0" borderId="0" xfId="4" applyFont="1"/>
    <xf numFmtId="0" fontId="10" fillId="2" borderId="0" xfId="0" applyFont="1" applyFill="1"/>
    <xf numFmtId="0" fontId="11" fillId="2" borderId="0" xfId="0" applyFont="1" applyFill="1"/>
    <xf numFmtId="0" fontId="0" fillId="3" borderId="2" xfId="0" applyFill="1" applyBorder="1"/>
    <xf numFmtId="0" fontId="13" fillId="3" borderId="3" xfId="0" applyFont="1" applyFill="1" applyBorder="1" applyAlignment="1">
      <alignment horizontal="center" wrapText="1"/>
    </xf>
    <xf numFmtId="0" fontId="0" fillId="3" borderId="3" xfId="0" applyFill="1" applyBorder="1"/>
    <xf numFmtId="0" fontId="13" fillId="3" borderId="3" xfId="0" applyFont="1" applyFill="1" applyBorder="1" applyAlignment="1">
      <alignment vertical="center" wrapText="1"/>
    </xf>
    <xf numFmtId="0" fontId="0" fillId="3" borderId="3" xfId="0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wrapText="1"/>
    </xf>
    <xf numFmtId="0" fontId="0" fillId="0" borderId="5" xfId="0" applyBorder="1"/>
    <xf numFmtId="2" fontId="0" fillId="0" borderId="0" xfId="0" applyNumberFormat="1"/>
    <xf numFmtId="165" fontId="0" fillId="0" borderId="0" xfId="0" applyNumberFormat="1"/>
    <xf numFmtId="0" fontId="13" fillId="0" borderId="0" xfId="6"/>
    <xf numFmtId="0" fontId="0" fillId="3" borderId="10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/>
    <xf numFmtId="0" fontId="0" fillId="3" borderId="9" xfId="0" applyFill="1" applyBorder="1"/>
    <xf numFmtId="0" fontId="0" fillId="0" borderId="1" xfId="0" applyBorder="1"/>
    <xf numFmtId="0" fontId="0" fillId="3" borderId="6" xfId="0" applyFill="1" applyBorder="1" applyAlignment="1">
      <alignment horizontal="left"/>
    </xf>
    <xf numFmtId="167" fontId="0" fillId="4" borderId="13" xfId="0" applyNumberFormat="1" applyFill="1" applyBorder="1"/>
    <xf numFmtId="167" fontId="0" fillId="4" borderId="0" xfId="0" applyNumberFormat="1" applyFill="1"/>
    <xf numFmtId="167" fontId="0" fillId="4" borderId="6" xfId="0" applyNumberFormat="1" applyFill="1" applyBorder="1"/>
    <xf numFmtId="167" fontId="0" fillId="4" borderId="9" xfId="0" applyNumberFormat="1" applyFill="1" applyBorder="1"/>
    <xf numFmtId="0" fontId="13" fillId="0" borderId="0" xfId="5"/>
    <xf numFmtId="0" fontId="13" fillId="3" borderId="14" xfId="0" applyFont="1" applyFill="1" applyBorder="1" applyAlignment="1">
      <alignment horizontal="right"/>
    </xf>
    <xf numFmtId="0" fontId="10" fillId="0" borderId="0" xfId="0" applyFont="1"/>
    <xf numFmtId="0" fontId="12" fillId="0" borderId="0" xfId="0" applyFont="1" applyAlignment="1">
      <alignment horizontal="right"/>
    </xf>
    <xf numFmtId="164" fontId="2" fillId="6" borderId="16" xfId="0" applyNumberFormat="1" applyFont="1" applyFill="1" applyBorder="1"/>
    <xf numFmtId="0" fontId="0" fillId="6" borderId="0" xfId="0" applyFill="1"/>
    <xf numFmtId="0" fontId="0" fillId="6" borderId="0" xfId="0" applyFill="1" applyAlignment="1">
      <alignment horizontal="left"/>
    </xf>
    <xf numFmtId="0" fontId="15" fillId="2" borderId="0" xfId="0" applyFont="1" applyFill="1"/>
    <xf numFmtId="0" fontId="2" fillId="0" borderId="0" xfId="0" applyFont="1"/>
    <xf numFmtId="0" fontId="13" fillId="0" borderId="0" xfId="0" applyFont="1" applyAlignment="1">
      <alignment horizontal="right"/>
    </xf>
    <xf numFmtId="167" fontId="0" fillId="0" borderId="0" xfId="0" applyNumberFormat="1"/>
    <xf numFmtId="0" fontId="8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/>
    <xf numFmtId="0" fontId="0" fillId="3" borderId="9" xfId="0" applyFill="1" applyBorder="1" applyAlignment="1">
      <alignment horizontal="left"/>
    </xf>
    <xf numFmtId="0" fontId="0" fillId="4" borderId="17" xfId="0" applyFill="1" applyBorder="1" applyAlignment="1">
      <alignment vertic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0" fillId="3" borderId="9" xfId="0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3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indent="1"/>
    </xf>
    <xf numFmtId="0" fontId="0" fillId="0" borderId="0" xfId="0" applyAlignment="1">
      <alignment vertical="center" wrapText="1"/>
    </xf>
    <xf numFmtId="0" fontId="12" fillId="7" borderId="18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2" fillId="0" borderId="0" xfId="0" applyFont="1" applyAlignment="1">
      <alignment horizontal="left" indent="1"/>
    </xf>
    <xf numFmtId="0" fontId="4" fillId="0" borderId="0" xfId="0" applyFont="1"/>
    <xf numFmtId="0" fontId="13" fillId="0" borderId="0" xfId="8"/>
    <xf numFmtId="0" fontId="4" fillId="2" borderId="0" xfId="0" applyFont="1" applyFill="1" applyAlignment="1">
      <alignment horizontal="left"/>
    </xf>
    <xf numFmtId="0" fontId="14" fillId="0" borderId="0" xfId="8" applyFont="1" applyAlignment="1">
      <alignment vertical="center"/>
    </xf>
    <xf numFmtId="0" fontId="3" fillId="3" borderId="3" xfId="0" applyFont="1" applyFill="1" applyBorder="1" applyAlignment="1">
      <alignment horizontal="right" wrapText="1"/>
    </xf>
    <xf numFmtId="0" fontId="0" fillId="3" borderId="7" xfId="0" applyFill="1" applyBorder="1"/>
    <xf numFmtId="168" fontId="13" fillId="0" borderId="0" xfId="5" applyNumberFormat="1"/>
    <xf numFmtId="1" fontId="13" fillId="0" borderId="0" xfId="5" applyNumberFormat="1"/>
    <xf numFmtId="169" fontId="13" fillId="0" borderId="0" xfId="5" applyNumberFormat="1"/>
    <xf numFmtId="0" fontId="3" fillId="3" borderId="7" xfId="0" applyFont="1" applyFill="1" applyBorder="1"/>
    <xf numFmtId="0" fontId="3" fillId="3" borderId="3" xfId="0" applyFont="1" applyFill="1" applyBorder="1"/>
    <xf numFmtId="0" fontId="0" fillId="3" borderId="3" xfId="0" applyFill="1" applyBorder="1" applyAlignment="1">
      <alignment horizontal="right" wrapText="1"/>
    </xf>
    <xf numFmtId="10" fontId="13" fillId="0" borderId="5" xfId="2" applyNumberFormat="1" applyFont="1" applyFill="1" applyBorder="1" applyAlignment="1">
      <alignment horizontal="center"/>
    </xf>
    <xf numFmtId="10" fontId="13" fillId="0" borderId="0" xfId="2" applyNumberFormat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166" fontId="0" fillId="0" borderId="0" xfId="1" applyNumberFormat="1" applyFont="1" applyFill="1" applyBorder="1"/>
    <xf numFmtId="10" fontId="13" fillId="0" borderId="0" xfId="7" applyNumberFormat="1" applyFont="1" applyFill="1" applyBorder="1"/>
    <xf numFmtId="0" fontId="11" fillId="0" borderId="0" xfId="0" applyFont="1"/>
    <xf numFmtId="0" fontId="0" fillId="0" borderId="6" xfId="0" applyBorder="1" applyAlignment="1">
      <alignment horizontal="left"/>
    </xf>
    <xf numFmtId="167" fontId="0" fillId="0" borderId="13" xfId="0" applyNumberFormat="1" applyBorder="1"/>
    <xf numFmtId="0" fontId="0" fillId="3" borderId="22" xfId="0" applyFill="1" applyBorder="1"/>
    <xf numFmtId="0" fontId="0" fillId="0" borderId="22" xfId="0" applyBorder="1"/>
    <xf numFmtId="0" fontId="0" fillId="0" borderId="23" xfId="0" applyBorder="1"/>
    <xf numFmtId="0" fontId="0" fillId="3" borderId="24" xfId="0" applyFill="1" applyBorder="1"/>
    <xf numFmtId="0" fontId="0" fillId="3" borderId="25" xfId="0" applyFill="1" applyBorder="1"/>
    <xf numFmtId="0" fontId="0" fillId="3" borderId="26" xfId="0" applyFill="1" applyBorder="1"/>
    <xf numFmtId="0" fontId="0" fillId="0" borderId="27" xfId="0" applyBorder="1"/>
    <xf numFmtId="0" fontId="0" fillId="5" borderId="21" xfId="0" applyFill="1" applyBorder="1"/>
    <xf numFmtId="0" fontId="0" fillId="6" borderId="21" xfId="0" applyFill="1" applyBorder="1"/>
    <xf numFmtId="0" fontId="13" fillId="3" borderId="15" xfId="0" applyFont="1" applyFill="1" applyBorder="1"/>
    <xf numFmtId="0" fontId="13" fillId="0" borderId="0" xfId="0" applyFont="1"/>
    <xf numFmtId="0" fontId="13" fillId="3" borderId="3" xfId="0" applyFont="1" applyFill="1" applyBorder="1" applyAlignment="1">
      <alignment horizontal="left"/>
    </xf>
    <xf numFmtId="164" fontId="13" fillId="0" borderId="16" xfId="0" applyNumberFormat="1" applyFont="1" applyBorder="1"/>
    <xf numFmtId="164" fontId="13" fillId="6" borderId="16" xfId="0" applyNumberFormat="1" applyFont="1" applyFill="1" applyBorder="1"/>
    <xf numFmtId="0" fontId="13" fillId="3" borderId="10" xfId="0" applyFont="1" applyFill="1" applyBorder="1" applyAlignment="1">
      <alignment horizontal="left"/>
    </xf>
    <xf numFmtId="0" fontId="0" fillId="0" borderId="28" xfId="0" applyBorder="1"/>
    <xf numFmtId="0" fontId="13" fillId="6" borderId="0" xfId="5" applyFill="1"/>
    <xf numFmtId="0" fontId="13" fillId="6" borderId="3" xfId="0" applyFont="1" applyFill="1" applyBorder="1" applyAlignment="1">
      <alignment horizontal="left"/>
    </xf>
    <xf numFmtId="0" fontId="13" fillId="6" borderId="0" xfId="0" applyFont="1" applyFill="1"/>
    <xf numFmtId="0" fontId="13" fillId="6" borderId="0" xfId="0" applyFont="1" applyFill="1" applyAlignment="1">
      <alignment horizontal="left"/>
    </xf>
    <xf numFmtId="164" fontId="13" fillId="6" borderId="0" xfId="0" applyNumberFormat="1" applyFont="1" applyFill="1"/>
    <xf numFmtId="164" fontId="0" fillId="0" borderId="0" xfId="0" applyNumberFormat="1"/>
    <xf numFmtId="43" fontId="0" fillId="0" borderId="0" xfId="0" applyNumberFormat="1"/>
    <xf numFmtId="2" fontId="13" fillId="0" borderId="0" xfId="1" applyNumberFormat="1" applyFont="1" applyFill="1" applyBorder="1"/>
    <xf numFmtId="165" fontId="13" fillId="6" borderId="0" xfId="1" applyNumberFormat="1" applyFont="1" applyFill="1" applyBorder="1"/>
    <xf numFmtId="0" fontId="0" fillId="3" borderId="8" xfId="0" applyFill="1" applyBorder="1"/>
    <xf numFmtId="9" fontId="13" fillId="0" borderId="5" xfId="2" applyFont="1" applyFill="1" applyBorder="1"/>
    <xf numFmtId="0" fontId="2" fillId="6" borderId="6" xfId="0" applyFont="1" applyFill="1" applyBorder="1" applyAlignment="1">
      <alignment horizontal="left"/>
    </xf>
    <xf numFmtId="167" fontId="2" fillId="6" borderId="4" xfId="0" applyNumberFormat="1" applyFont="1" applyFill="1" applyBorder="1"/>
    <xf numFmtId="167" fontId="2" fillId="6" borderId="0" xfId="0" applyNumberFormat="1" applyFont="1" applyFill="1"/>
    <xf numFmtId="1" fontId="0" fillId="3" borderId="0" xfId="0" applyNumberFormat="1" applyFill="1"/>
    <xf numFmtId="0" fontId="0" fillId="3" borderId="0" xfId="0" applyFill="1" applyAlignment="1">
      <alignment horizontal="center" wrapText="1"/>
    </xf>
    <xf numFmtId="0" fontId="0" fillId="3" borderId="0" xfId="0" applyFill="1" applyAlignment="1">
      <alignment horizontal="center"/>
    </xf>
    <xf numFmtId="0" fontId="0" fillId="0" borderId="0" xfId="0" applyAlignment="1">
      <alignment horizontal="right"/>
    </xf>
    <xf numFmtId="0" fontId="18" fillId="8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/>
    </xf>
    <xf numFmtId="0" fontId="14" fillId="3" borderId="3" xfId="0" applyFont="1" applyFill="1" applyBorder="1" applyAlignment="1">
      <alignment horizontal="right" wrapText="1"/>
    </xf>
    <xf numFmtId="0" fontId="13" fillId="3" borderId="3" xfId="0" applyFont="1" applyFill="1" applyBorder="1" applyAlignment="1">
      <alignment horizontal="right" wrapText="1"/>
    </xf>
    <xf numFmtId="2" fontId="13" fillId="0" borderId="12" xfId="8" applyNumberFormat="1" applyBorder="1" applyAlignment="1">
      <alignment horizontal="right"/>
    </xf>
    <xf numFmtId="2" fontId="13" fillId="0" borderId="5" xfId="8" applyNumberFormat="1" applyBorder="1" applyAlignment="1">
      <alignment horizontal="right"/>
    </xf>
    <xf numFmtId="10" fontId="13" fillId="0" borderId="19" xfId="2" applyNumberFormat="1" applyFont="1" applyFill="1" applyBorder="1" applyAlignment="1">
      <alignment horizontal="right" indent="1"/>
    </xf>
    <xf numFmtId="10" fontId="13" fillId="0" borderId="20" xfId="2" applyNumberFormat="1" applyFont="1" applyFill="1" applyBorder="1" applyAlignment="1">
      <alignment horizontal="right"/>
    </xf>
    <xf numFmtId="10" fontId="13" fillId="0" borderId="5" xfId="2" applyNumberFormat="1" applyFont="1" applyFill="1" applyBorder="1" applyAlignment="1">
      <alignment horizontal="right"/>
    </xf>
    <xf numFmtId="165" fontId="13" fillId="0" borderId="12" xfId="8" applyNumberFormat="1" applyBorder="1" applyAlignment="1">
      <alignment horizontal="right"/>
    </xf>
    <xf numFmtId="9" fontId="13" fillId="0" borderId="5" xfId="2" applyFont="1" applyFill="1" applyBorder="1" applyAlignment="1">
      <alignment horizontal="right"/>
    </xf>
    <xf numFmtId="1" fontId="13" fillId="0" borderId="12" xfId="8" applyNumberFormat="1" applyBorder="1" applyAlignment="1">
      <alignment horizontal="right"/>
    </xf>
    <xf numFmtId="0" fontId="19" fillId="0" borderId="0" xfId="0" applyFont="1"/>
    <xf numFmtId="0" fontId="0" fillId="6" borderId="17" xfId="0" applyFill="1" applyBorder="1" applyAlignment="1">
      <alignment vertical="center"/>
    </xf>
    <xf numFmtId="10" fontId="13" fillId="0" borderId="0" xfId="2" applyNumberFormat="1" applyFont="1" applyFill="1" applyBorder="1" applyAlignment="1">
      <alignment horizontal="right" indent="1"/>
    </xf>
    <xf numFmtId="0" fontId="13" fillId="3" borderId="3" xfId="0" applyFont="1" applyFill="1" applyBorder="1" applyAlignment="1">
      <alignment horizontal="left" indent="2"/>
    </xf>
    <xf numFmtId="0" fontId="0" fillId="0" borderId="0" xfId="4" applyFont="1"/>
    <xf numFmtId="0" fontId="0" fillId="3" borderId="21" xfId="0" applyFill="1" applyBorder="1"/>
    <xf numFmtId="0" fontId="3" fillId="3" borderId="21" xfId="4" applyFont="1" applyFill="1" applyBorder="1"/>
    <xf numFmtId="0" fontId="0" fillId="0" borderId="32" xfId="4" applyFont="1" applyBorder="1"/>
    <xf numFmtId="0" fontId="0" fillId="0" borderId="32" xfId="4" applyFont="1" applyBorder="1" applyAlignment="1">
      <alignment wrapText="1"/>
    </xf>
    <xf numFmtId="0" fontId="0" fillId="0" borderId="33" xfId="0" applyBorder="1" applyAlignment="1">
      <alignment vertical="top" wrapText="1"/>
    </xf>
    <xf numFmtId="0" fontId="8" fillId="0" borderId="0" xfId="3" applyFont="1" applyBorder="1" applyAlignment="1">
      <alignment horizontal="center" vertical="center"/>
    </xf>
    <xf numFmtId="14" fontId="0" fillId="0" borderId="0" xfId="0" applyNumberFormat="1" applyAlignment="1">
      <alignment horizontal="left"/>
    </xf>
    <xf numFmtId="0" fontId="8" fillId="0" borderId="0" xfId="3" applyFont="1" applyAlignment="1">
      <alignment horizontal="center" vertical="center"/>
    </xf>
    <xf numFmtId="0" fontId="0" fillId="0" borderId="0" xfId="4" applyFont="1" applyAlignment="1">
      <alignment vertical="top"/>
    </xf>
    <xf numFmtId="0" fontId="0" fillId="6" borderId="0" xfId="4" applyFont="1" applyFill="1"/>
    <xf numFmtId="0" fontId="1" fillId="6" borderId="0" xfId="4" applyFont="1" applyFill="1"/>
    <xf numFmtId="170" fontId="0" fillId="0" borderId="0" xfId="0" applyNumberFormat="1" applyAlignment="1">
      <alignment horizontal="center"/>
    </xf>
    <xf numFmtId="0" fontId="13" fillId="6" borderId="0" xfId="4" applyFont="1" applyFill="1"/>
    <xf numFmtId="0" fontId="13" fillId="6" borderId="32" xfId="4" applyFont="1" applyFill="1" applyBorder="1" applyAlignment="1">
      <alignment wrapText="1"/>
    </xf>
    <xf numFmtId="0" fontId="0" fillId="3" borderId="11" xfId="0" applyFill="1" applyBorder="1" applyAlignment="1">
      <alignment vertical="center"/>
    </xf>
    <xf numFmtId="0" fontId="13" fillId="0" borderId="0" xfId="4" applyFont="1"/>
    <xf numFmtId="0" fontId="13" fillId="0" borderId="32" xfId="4" applyFont="1" applyBorder="1" applyAlignment="1">
      <alignment wrapText="1"/>
    </xf>
    <xf numFmtId="0" fontId="1" fillId="0" borderId="0" xfId="4" applyFont="1"/>
    <xf numFmtId="0" fontId="3" fillId="7" borderId="0" xfId="4" applyFont="1" applyFill="1"/>
    <xf numFmtId="0" fontId="3" fillId="7" borderId="21" xfId="4" applyFont="1" applyFill="1" applyBorder="1" applyAlignment="1">
      <alignment vertical="top"/>
    </xf>
    <xf numFmtId="0" fontId="3" fillId="7" borderId="21" xfId="4" applyFont="1" applyFill="1" applyBorder="1" applyAlignment="1">
      <alignment vertical="top" wrapText="1"/>
    </xf>
    <xf numFmtId="0" fontId="3" fillId="7" borderId="0" xfId="4" applyFont="1" applyFill="1" applyAlignment="1">
      <alignment vertical="top"/>
    </xf>
    <xf numFmtId="0" fontId="3" fillId="7" borderId="21" xfId="4" applyFont="1" applyFill="1" applyBorder="1" applyAlignment="1">
      <alignment wrapText="1"/>
    </xf>
    <xf numFmtId="0" fontId="13" fillId="6" borderId="32" xfId="4" applyFont="1" applyFill="1" applyBorder="1" applyAlignment="1">
      <alignment vertical="top" wrapText="1"/>
    </xf>
    <xf numFmtId="0" fontId="1" fillId="6" borderId="0" xfId="4" applyFont="1" applyFill="1" applyAlignment="1">
      <alignment vertical="top"/>
    </xf>
    <xf numFmtId="0" fontId="1" fillId="0" borderId="21" xfId="4" applyFont="1" applyBorder="1"/>
    <xf numFmtId="0" fontId="0" fillId="3" borderId="11" xfId="0" applyFill="1" applyBorder="1" applyAlignment="1">
      <alignment horizontal="center" vertical="center"/>
    </xf>
    <xf numFmtId="0" fontId="13" fillId="0" borderId="0" xfId="4" applyFont="1" applyAlignment="1">
      <alignment wrapText="1"/>
    </xf>
    <xf numFmtId="0" fontId="13" fillId="3" borderId="3" xfId="0" applyFont="1" applyFill="1" applyBorder="1" applyAlignment="1">
      <alignment horizontal="left" indent="1"/>
    </xf>
    <xf numFmtId="0" fontId="13" fillId="3" borderId="3" xfId="0" applyFont="1" applyFill="1" applyBorder="1" applyAlignment="1">
      <alignment horizontal="left" indent="3"/>
    </xf>
    <xf numFmtId="0" fontId="13" fillId="0" borderId="3" xfId="0" applyFont="1" applyBorder="1" applyAlignment="1">
      <alignment horizontal="left"/>
    </xf>
    <xf numFmtId="0" fontId="0" fillId="3" borderId="3" xfId="0" applyFill="1" applyBorder="1" applyAlignment="1">
      <alignment wrapText="1"/>
    </xf>
    <xf numFmtId="0" fontId="24" fillId="0" borderId="0" xfId="4" applyFont="1" applyAlignment="1">
      <alignment horizontal="left" vertical="center"/>
    </xf>
    <xf numFmtId="0" fontId="0" fillId="6" borderId="33" xfId="0" applyFill="1" applyBorder="1" applyAlignment="1">
      <alignment vertical="top" wrapText="1"/>
    </xf>
    <xf numFmtId="0" fontId="0" fillId="6" borderId="32" xfId="4" applyFont="1" applyFill="1" applyBorder="1" applyAlignment="1">
      <alignment wrapText="1"/>
    </xf>
    <xf numFmtId="0" fontId="13" fillId="3" borderId="8" xfId="0" applyFont="1" applyFill="1" applyBorder="1"/>
    <xf numFmtId="0" fontId="2" fillId="0" borderId="34" xfId="0" applyFont="1" applyBorder="1" applyAlignment="1">
      <alignment horizontal="center" vertical="center" wrapText="1"/>
    </xf>
    <xf numFmtId="0" fontId="20" fillId="6" borderId="0" xfId="0" applyFont="1" applyFill="1"/>
    <xf numFmtId="4" fontId="0" fillId="4" borderId="13" xfId="0" applyNumberFormat="1" applyFill="1" applyBorder="1"/>
    <xf numFmtId="171" fontId="13" fillId="0" borderId="12" xfId="0" applyNumberFormat="1" applyFont="1" applyBorder="1"/>
    <xf numFmtId="171" fontId="13" fillId="0" borderId="19" xfId="2" applyNumberFormat="1" applyFont="1" applyFill="1" applyBorder="1" applyAlignment="1">
      <alignment horizontal="right" indent="1"/>
    </xf>
    <xf numFmtId="171" fontId="13" fillId="0" borderId="19" xfId="2" applyNumberFormat="1" applyFont="1" applyFill="1" applyBorder="1" applyAlignment="1">
      <alignment horizontal="right"/>
    </xf>
    <xf numFmtId="171" fontId="13" fillId="0" borderId="20" xfId="2" applyNumberFormat="1" applyFont="1" applyFill="1" applyBorder="1" applyAlignment="1">
      <alignment horizontal="right"/>
    </xf>
    <xf numFmtId="173" fontId="0" fillId="5" borderId="21" xfId="0" applyNumberFormat="1" applyFill="1" applyBorder="1"/>
    <xf numFmtId="0" fontId="0" fillId="6" borderId="35" xfId="0" applyFill="1" applyBorder="1"/>
    <xf numFmtId="1" fontId="0" fillId="3" borderId="21" xfId="0" applyNumberFormat="1" applyFill="1" applyBorder="1"/>
    <xf numFmtId="1" fontId="0" fillId="3" borderId="36" xfId="0" applyNumberFormat="1" applyFill="1" applyBorder="1"/>
    <xf numFmtId="43" fontId="0" fillId="9" borderId="35" xfId="0" applyNumberFormat="1" applyFill="1" applyBorder="1"/>
    <xf numFmtId="174" fontId="13" fillId="0" borderId="12" xfId="8" applyNumberFormat="1" applyBorder="1" applyAlignment="1">
      <alignment horizontal="right"/>
    </xf>
    <xf numFmtId="173" fontId="0" fillId="6" borderId="21" xfId="0" applyNumberFormat="1" applyFill="1" applyBorder="1"/>
    <xf numFmtId="173" fontId="0" fillId="0" borderId="0" xfId="0" applyNumberFormat="1"/>
    <xf numFmtId="173" fontId="0" fillId="6" borderId="0" xfId="0" applyNumberFormat="1" applyFill="1"/>
    <xf numFmtId="175" fontId="0" fillId="0" borderId="0" xfId="0" applyNumberFormat="1"/>
    <xf numFmtId="174" fontId="0" fillId="0" borderId="0" xfId="0" applyNumberFormat="1"/>
    <xf numFmtId="10" fontId="13" fillId="0" borderId="12" xfId="0" applyNumberFormat="1" applyFont="1" applyBorder="1"/>
    <xf numFmtId="10" fontId="13" fillId="0" borderId="4" xfId="0" applyNumberFormat="1" applyFont="1" applyFill="1" applyBorder="1" applyAlignment="1">
      <alignment horizontal="right"/>
    </xf>
    <xf numFmtId="164" fontId="13" fillId="0" borderId="16" xfId="0" applyNumberFormat="1" applyFont="1" applyFill="1" applyBorder="1"/>
    <xf numFmtId="172" fontId="13" fillId="0" borderId="16" xfId="0" applyNumberFormat="1" applyFont="1" applyFill="1" applyBorder="1"/>
    <xf numFmtId="0" fontId="13" fillId="6" borderId="32" xfId="4" applyFont="1" applyFill="1" applyBorder="1" applyAlignment="1">
      <alignment horizontal="left" wrapText="1" indent="3"/>
    </xf>
    <xf numFmtId="4" fontId="0" fillId="9" borderId="13" xfId="0" applyNumberFormat="1" applyFill="1" applyBorder="1"/>
    <xf numFmtId="0" fontId="3" fillId="0" borderId="30" xfId="0" applyFont="1" applyBorder="1" applyAlignment="1">
      <alignment horizontal="center"/>
    </xf>
    <xf numFmtId="4" fontId="13" fillId="0" borderId="5" xfId="5" applyNumberFormat="1" applyBorder="1"/>
    <xf numFmtId="4" fontId="0" fillId="0" borderId="0" xfId="0" applyNumberFormat="1"/>
    <xf numFmtId="4" fontId="1" fillId="0" borderId="5" xfId="5" applyNumberFormat="1" applyFont="1" applyBorder="1" applyAlignment="1">
      <alignment horizontal="right"/>
    </xf>
    <xf numFmtId="4" fontId="1" fillId="9" borderId="5" xfId="5" applyNumberFormat="1" applyFont="1" applyFill="1" applyBorder="1" applyAlignment="1">
      <alignment horizontal="right"/>
    </xf>
    <xf numFmtId="4" fontId="0" fillId="0" borderId="5" xfId="0" applyNumberFormat="1" applyBorder="1"/>
    <xf numFmtId="4" fontId="0" fillId="0" borderId="5" xfId="0" applyNumberFormat="1" applyBorder="1" applyAlignment="1">
      <alignment horizontal="right"/>
    </xf>
    <xf numFmtId="4" fontId="0" fillId="0" borderId="0" xfId="0" applyNumberFormat="1" applyAlignment="1">
      <alignment horizontal="right"/>
    </xf>
    <xf numFmtId="4" fontId="0" fillId="4" borderId="4" xfId="1" applyNumberFormat="1" applyFont="1" applyFill="1" applyBorder="1"/>
    <xf numFmtId="4" fontId="0" fillId="0" borderId="4" xfId="0" applyNumberFormat="1" applyBorder="1"/>
    <xf numFmtId="4" fontId="0" fillId="4" borderId="5" xfId="1" applyNumberFormat="1" applyFont="1" applyFill="1" applyBorder="1"/>
    <xf numFmtId="4" fontId="13" fillId="0" borderId="5" xfId="1" applyNumberFormat="1" applyFont="1" applyFill="1" applyBorder="1"/>
    <xf numFmtId="4" fontId="13" fillId="0" borderId="5" xfId="1" applyNumberFormat="1" applyFont="1" applyFill="1" applyBorder="1" applyAlignment="1">
      <alignment horizontal="right"/>
    </xf>
    <xf numFmtId="4" fontId="14" fillId="0" borderId="5" xfId="5" applyNumberFormat="1" applyFont="1" applyBorder="1" applyAlignment="1">
      <alignment horizontal="right"/>
    </xf>
    <xf numFmtId="0" fontId="13" fillId="0" borderId="32" xfId="4" applyFont="1" applyBorder="1" applyAlignment="1">
      <alignment horizontal="left" wrapText="1" indent="1"/>
    </xf>
    <xf numFmtId="0" fontId="0" fillId="3" borderId="3" xfId="0" applyFill="1" applyBorder="1" applyAlignment="1">
      <alignment horizontal="left" indent="4"/>
    </xf>
    <xf numFmtId="0" fontId="0" fillId="0" borderId="3" xfId="0" applyFill="1" applyBorder="1" applyAlignment="1">
      <alignment horizontal="left" indent="1"/>
    </xf>
    <xf numFmtId="0" fontId="13" fillId="0" borderId="32" xfId="4" applyFont="1" applyFill="1" applyBorder="1" applyAlignment="1">
      <alignment horizontal="left" wrapText="1" indent="3"/>
    </xf>
    <xf numFmtId="0" fontId="13" fillId="0" borderId="32" xfId="4" applyFont="1" applyFill="1" applyBorder="1" applyAlignment="1">
      <alignment wrapText="1"/>
    </xf>
    <xf numFmtId="0" fontId="13" fillId="0" borderId="32" xfId="4" applyFont="1" applyFill="1" applyBorder="1" applyAlignment="1">
      <alignment vertical="top" wrapText="1"/>
    </xf>
    <xf numFmtId="0" fontId="13" fillId="0" borderId="32" xfId="4" applyFont="1" applyFill="1" applyBorder="1" applyAlignment="1">
      <alignment horizontal="left" wrapText="1" indent="1"/>
    </xf>
    <xf numFmtId="0" fontId="2" fillId="0" borderId="31" xfId="0" applyFont="1" applyBorder="1"/>
    <xf numFmtId="1" fontId="0" fillId="0" borderId="0" xfId="0" applyNumberFormat="1"/>
    <xf numFmtId="0" fontId="10" fillId="6" borderId="0" xfId="0" applyFont="1" applyFill="1" applyAlignment="1">
      <alignment horizontal="left"/>
    </xf>
    <xf numFmtId="0" fontId="0" fillId="10" borderId="0" xfId="0" applyFill="1"/>
    <xf numFmtId="0" fontId="0" fillId="0" borderId="0" xfId="0" applyBorder="1"/>
    <xf numFmtId="4" fontId="13" fillId="0" borderId="0" xfId="1" applyNumberFormat="1" applyFont="1" applyFill="1" applyBorder="1"/>
    <xf numFmtId="9" fontId="13" fillId="0" borderId="0" xfId="2" applyFont="1" applyFill="1" applyBorder="1"/>
    <xf numFmtId="0" fontId="13" fillId="3" borderId="3" xfId="0" applyFont="1" applyFill="1" applyBorder="1" applyAlignment="1">
      <alignment horizontal="left" indent="4"/>
    </xf>
    <xf numFmtId="4" fontId="13" fillId="0" borderId="5" xfId="5" applyNumberFormat="1" applyFont="1" applyBorder="1" applyAlignment="1">
      <alignment horizontal="right"/>
    </xf>
    <xf numFmtId="4" fontId="13" fillId="0" borderId="5" xfId="0" applyNumberFormat="1" applyFont="1" applyBorder="1" applyAlignment="1">
      <alignment horizontal="right"/>
    </xf>
    <xf numFmtId="4" fontId="13" fillId="0" borderId="5" xfId="5" applyNumberFormat="1" applyFont="1" applyBorder="1"/>
    <xf numFmtId="0" fontId="13" fillId="10" borderId="0" xfId="0" applyFont="1" applyFill="1"/>
    <xf numFmtId="0" fontId="13" fillId="0" borderId="32" xfId="4" applyFont="1" applyFill="1" applyBorder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0" fillId="3" borderId="6" xfId="0" applyFill="1" applyBorder="1" applyAlignment="1">
      <alignment horizontal="right"/>
    </xf>
    <xf numFmtId="0" fontId="0" fillId="3" borderId="7" xfId="0" applyFill="1" applyBorder="1" applyAlignment="1">
      <alignment horizontal="right"/>
    </xf>
    <xf numFmtId="0" fontId="10" fillId="2" borderId="0" xfId="0" applyFont="1" applyFill="1" applyAlignment="1">
      <alignment horizontal="left"/>
    </xf>
    <xf numFmtId="0" fontId="13" fillId="3" borderId="13" xfId="0" applyFont="1" applyFill="1" applyBorder="1" applyAlignment="1">
      <alignment horizontal="left" vertical="center" wrapText="1"/>
    </xf>
    <xf numFmtId="0" fontId="13" fillId="3" borderId="0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horizontal="left" vertical="center" wrapText="1"/>
    </xf>
    <xf numFmtId="0" fontId="13" fillId="3" borderId="29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21" xfId="4" applyFont="1" applyFill="1" applyBorder="1"/>
    <xf numFmtId="0" fontId="14" fillId="3" borderId="15" xfId="8" applyFont="1" applyFill="1" applyBorder="1" applyAlignment="1">
      <alignment horizontal="center" vertical="center"/>
    </xf>
    <xf numFmtId="176" fontId="14" fillId="3" borderId="15" xfId="8" applyNumberFormat="1" applyFont="1" applyFill="1" applyBorder="1" applyAlignment="1">
      <alignment horizontal="center" vertical="center"/>
    </xf>
    <xf numFmtId="1" fontId="13" fillId="0" borderId="5" xfId="8" applyNumberFormat="1" applyBorder="1" applyAlignment="1">
      <alignment horizontal="center" vertical="top"/>
    </xf>
    <xf numFmtId="14" fontId="13" fillId="0" borderId="5" xfId="8" applyNumberFormat="1" applyBorder="1" applyAlignment="1">
      <alignment horizontal="center" vertical="top"/>
    </xf>
    <xf numFmtId="1" fontId="13" fillId="0" borderId="5" xfId="8" applyNumberFormat="1" applyBorder="1" applyAlignment="1">
      <alignment horizontal="left" vertical="top"/>
    </xf>
  </cellXfs>
  <cellStyles count="9">
    <cellStyle name="Comma" xfId="1" builtinId="3"/>
    <cellStyle name="Hyperlink" xfId="3" builtinId="8"/>
    <cellStyle name="Normal" xfId="0" builtinId="0"/>
    <cellStyle name="Normal 2" xfId="5" xr:uid="{532DD6F1-74F5-49AE-8CDA-03DB0F0BDB69}"/>
    <cellStyle name="Normal 3" xfId="4" xr:uid="{83DFEA95-45F4-4592-A33D-CB8ADD852DCF}"/>
    <cellStyle name="Normal_Repli-change for BPV" xfId="6" xr:uid="{D14FD436-3FC6-4869-B6F1-49698BB8F2BF}"/>
    <cellStyle name="Percent" xfId="2" builtinId="5"/>
    <cellStyle name="Prozent 3" xfId="7" xr:uid="{B37603C5-0A9B-4386-9E4D-0AA11FA1F179}"/>
    <cellStyle name="Standard 2 2" xfId="8" xr:uid="{94E8E4EE-29D3-4198-99C3-2C6D302044E7}"/>
  </cellStyles>
  <dxfs count="0"/>
  <tableStyles count="0" defaultTableStyle="TableStyleMedium2" defaultPivotStyle="PivotStyleLight16"/>
  <colors>
    <mruColors>
      <color rgb="FFA2D3EE"/>
      <color rgb="FF3E3E5A"/>
      <color rgb="FF0053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userhome.finma.ch\Users$\F10133\Desktop\SST%20UVG%20Valuation%20Template_Config_v20250123.xlsx" TargetMode="External"/><Relationship Id="rId1" Type="http://schemas.openxmlformats.org/officeDocument/2006/relationships/externalLinkPath" Target="file:///\\userhome.finma.ch\Users$\F10133\Desktop\SST%20UVG%20Valuation%20Template_Config_v202501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10133\Downloads\SST%20Nonlife%20Templat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SST%20Nonlife%20Template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k.finma.ch/sites/6005-T/Dossiers/Quantitatives%20Risikomanagement/SST/JaehrlicherSST/2025/Aufschaltung/2025_01_31/SST-Nonlife-Template.xlsm" TargetMode="External"/><Relationship Id="rId1" Type="http://schemas.openxmlformats.org/officeDocument/2006/relationships/externalLinkPath" Target="/sites/6005-T/Dossiers/Quantitatives%20Risikomanagement/SST/JaehrlicherSST/2025/Aufschaltung/2025_01_31/SST-Nonlife-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ro_SM_UVG_Valuation"/>
      <sheetName val="Inputparam"/>
      <sheetName val="UVG_Input_Data"/>
      <sheetName val="UVG_Calculations"/>
      <sheetName val="UVG_Output"/>
      <sheetName val="Glossary"/>
      <sheetName val="Configuration"/>
    </sheetNames>
    <sheetDataSet>
      <sheetData sheetId="0">
        <row r="1">
          <cell r="E1">
            <v>2024</v>
          </cell>
        </row>
        <row r="6">
          <cell r="E6" t="str">
            <v>DE</v>
          </cell>
        </row>
      </sheetData>
      <sheetData sheetId="1"/>
      <sheetData sheetId="2"/>
      <sheetData sheetId="3"/>
      <sheetData sheetId="4"/>
      <sheetData sheetId="5">
        <row r="2">
          <cell r="C2" t="str">
            <v>Label</v>
          </cell>
          <cell r="D2" t="str">
            <v>Deutsch</v>
          </cell>
          <cell r="E2" t="str">
            <v>Français</v>
          </cell>
          <cell r="F2" t="str">
            <v>English</v>
          </cell>
        </row>
        <row r="4">
          <cell r="C4" t="str">
            <v>T.01.9</v>
          </cell>
          <cell r="D4" t="str">
            <v>SST-Template für die Bewertung des UVG-Bestandes</v>
          </cell>
          <cell r="E4" t="str">
            <v>Modèle SST pour l'évaluation du portefeuille LAA</v>
          </cell>
          <cell r="F4" t="str">
            <v>SST template for valuation of the mandatory accident insurance liabilities under the Federal Accident Insurance Act (UVG)</v>
          </cell>
        </row>
        <row r="5">
          <cell r="C5" t="str">
            <v>_million</v>
          </cell>
          <cell r="D5" t="str">
            <v>in Mio. CHF</v>
          </cell>
          <cell r="E5" t="str">
            <v>en mio. CHF</v>
          </cell>
          <cell r="F5" t="str">
            <v>in mio. CHF</v>
          </cell>
        </row>
        <row r="6">
          <cell r="B6" t="str">
            <v xml:space="preserve"> (in Mio. CHF)</v>
          </cell>
          <cell r="C6" t="str">
            <v>_million1</v>
          </cell>
          <cell r="D6" t="str">
            <v xml:space="preserve"> (in Mio. CHF)</v>
          </cell>
          <cell r="E6" t="str">
            <v xml:space="preserve"> (en mio. CHF)</v>
          </cell>
          <cell r="F6" t="str">
            <v xml:space="preserve"> (in mio. CHF)</v>
          </cell>
        </row>
        <row r="7">
          <cell r="C7" t="str">
            <v>T.01.1</v>
          </cell>
          <cell r="D7" t="str">
            <v>SST-Währung</v>
          </cell>
          <cell r="E7" t="str">
            <v>Monnaie du SST</v>
          </cell>
          <cell r="F7" t="str">
            <v>SST currency</v>
          </cell>
        </row>
        <row r="8">
          <cell r="C8" t="str">
            <v>T.01.2</v>
          </cell>
          <cell r="D8" t="str">
            <v>Bemerkungen</v>
          </cell>
          <cell r="E8" t="str">
            <v>Remarques</v>
          </cell>
          <cell r="F8" t="str">
            <v>Comment</v>
          </cell>
        </row>
        <row r="9">
          <cell r="C9" t="str">
            <v>T.01.3</v>
          </cell>
          <cell r="D9" t="str">
            <v>Angaben</v>
          </cell>
          <cell r="E9" t="str">
            <v>Données</v>
          </cell>
          <cell r="F9" t="str">
            <v>Data</v>
          </cell>
        </row>
        <row r="10">
          <cell r="C10" t="str">
            <v>T.01.4</v>
          </cell>
          <cell r="D10" t="str">
            <v>Parameter</v>
          </cell>
          <cell r="E10" t="str">
            <v>Paramètres</v>
          </cell>
          <cell r="F10" t="str">
            <v>Parameters</v>
          </cell>
        </row>
        <row r="11">
          <cell r="C11" t="str">
            <v>T.01.5</v>
          </cell>
          <cell r="D11" t="str">
            <v>Eingabe</v>
          </cell>
          <cell r="E11" t="str">
            <v>Entrée</v>
          </cell>
          <cell r="F11" t="str">
            <v>Input</v>
          </cell>
        </row>
        <row r="12">
          <cell r="C12" t="str">
            <v>T.01.6</v>
          </cell>
          <cell r="D12" t="str">
            <v>Name der Versicherungsgesellschaft</v>
          </cell>
          <cell r="E12" t="str">
            <v>Nom de la société d'assurance</v>
          </cell>
          <cell r="F12" t="str">
            <v>Name of the insurance company</v>
          </cell>
        </row>
        <row r="13">
          <cell r="C13" t="str">
            <v>T.01.7</v>
          </cell>
          <cell r="D13" t="str">
            <v>Wert</v>
          </cell>
          <cell r="E13" t="str">
            <v>Valeur</v>
          </cell>
          <cell r="F13" t="str">
            <v>Value</v>
          </cell>
        </row>
        <row r="14">
          <cell r="C14" t="str">
            <v>T.01.8</v>
          </cell>
          <cell r="D14" t="str">
            <v>Exponierung</v>
          </cell>
          <cell r="E14" t="str">
            <v>Exposition</v>
          </cell>
          <cell r="F14" t="str">
            <v>Exposure</v>
          </cell>
        </row>
        <row r="15">
          <cell r="C15" t="str">
            <v>T.01.12</v>
          </cell>
          <cell r="D15" t="str">
            <v>Dieses SST-Template enthält Tabellenblätter mit verschiedenen Registerfarben. Es wird die folgende Farbenkonvention verwendet:</v>
          </cell>
          <cell r="E15" t="str">
            <v>Ce template SST contient des feuilles avec des onglets de différentes couleurs. La convention suivante s'applique:</v>
          </cell>
          <cell r="F15" t="str">
            <v>This SST template includes worksheets with different tab colors. The following color convention is used.</v>
          </cell>
        </row>
        <row r="16">
          <cell r="C16" t="str">
            <v>T.01.13</v>
          </cell>
          <cell r="D16" t="str">
            <v>Tabellenblätter, die vom Versicherungsunternehmen auszufüllen sind.</v>
          </cell>
          <cell r="E16" t="str">
            <v>Feuilles que la société d'assurance doit compléter.</v>
          </cell>
          <cell r="F16" t="str">
            <v>Worksheets that are to be completed by the insurance company.</v>
          </cell>
        </row>
        <row r="17">
          <cell r="C17" t="str">
            <v>T.01.14</v>
          </cell>
          <cell r="D17" t="str">
            <v xml:space="preserve">Tabellenblätter mit Informationen, Parametern oder Berechnungen. </v>
          </cell>
          <cell r="E17" t="str">
            <v>Feuilles avec informations, paramètres ou calculs.</v>
          </cell>
          <cell r="F17" t="str">
            <v>Worksheets with information, parameters or calculations.</v>
          </cell>
        </row>
        <row r="18">
          <cell r="C18" t="str">
            <v>T.01.15</v>
          </cell>
          <cell r="D18" t="str">
            <v>Tabellenblatt, der für Steuerung des Tools notwendig ist. Die Tabelle ist nicht zu ändern.</v>
          </cell>
          <cell r="E18" t="str">
            <v>En principe ces feuilles ne doivent pas être modifiées.</v>
          </cell>
          <cell r="F18" t="str">
            <v>Worksheet nessesary for configuration of this tool. Normally, these worksheets are not to be modified.</v>
          </cell>
        </row>
        <row r="19">
          <cell r="C19" t="str">
            <v>T.01.16</v>
          </cell>
          <cell r="D19" t="str">
            <v>Eingabefelder: In diesen Feldern werden versicherungsspezifische Angaben erwartet.</v>
          </cell>
          <cell r="E19" t="str">
            <v>Champs d'entrée: dans ces cellules les données spécifiques à la société d'assurance doivent être entrées.</v>
          </cell>
          <cell r="F19" t="str">
            <v>Input fields: These cells ask for insurance company specific information.</v>
          </cell>
        </row>
        <row r="21">
          <cell r="C21" t="str">
            <v>T.02.1</v>
          </cell>
          <cell r="D21" t="str">
            <v>Finanzvariablen und SST-Parameter</v>
          </cell>
          <cell r="E21" t="str">
            <v>Variables financières et paramètres SST</v>
          </cell>
          <cell r="F21" t="str">
            <v>Financial variables and SST parameters</v>
          </cell>
        </row>
        <row r="22">
          <cell r="B22" t="str">
            <v>Fälligkeit (in Jahren)</v>
          </cell>
          <cell r="C22" t="str">
            <v>_maturity</v>
          </cell>
          <cell r="D22" t="str">
            <v>Fälligkeit (in Jahren)</v>
          </cell>
          <cell r="E22" t="str">
            <v>échéance (en années)</v>
          </cell>
          <cell r="F22" t="str">
            <v>Time to maturity (in years)</v>
          </cell>
        </row>
        <row r="23">
          <cell r="B23" t="str">
            <v>nach oben</v>
          </cell>
          <cell r="C23" t="str">
            <v>_up</v>
          </cell>
          <cell r="D23" t="str">
            <v>nach oben</v>
          </cell>
          <cell r="E23" t="str">
            <v>en haut</v>
          </cell>
          <cell r="F23" t="str">
            <v>up</v>
          </cell>
        </row>
        <row r="24">
          <cell r="B24" t="str">
            <v>nach unten</v>
          </cell>
          <cell r="C24" t="str">
            <v>_down</v>
          </cell>
          <cell r="D24" t="str">
            <v>nach unten</v>
          </cell>
          <cell r="E24" t="str">
            <v>en bas</v>
          </cell>
          <cell r="F24" t="str">
            <v>down</v>
          </cell>
        </row>
        <row r="25">
          <cell r="B25" t="str">
            <v>CHF kurzfristiger Zinssatz</v>
          </cell>
          <cell r="C25" t="str">
            <v>_shortTerm</v>
          </cell>
          <cell r="D25" t="str">
            <v>CHF kurzfristiger Zinssatz</v>
          </cell>
          <cell r="E25" t="str">
            <v>CHF taux à court terme</v>
          </cell>
          <cell r="F25" t="str">
            <v>CHF short term rate</v>
          </cell>
        </row>
        <row r="26">
          <cell r="B26" t="str">
            <v>CHF mittelfristiger Zinssatz</v>
          </cell>
          <cell r="C26" t="str">
            <v>_middleTerm</v>
          </cell>
          <cell r="D26" t="str">
            <v>CHF mittelfristiger Zinssatz</v>
          </cell>
          <cell r="E26" t="str">
            <v>CHF taux à moyen terme</v>
          </cell>
          <cell r="F26" t="str">
            <v>CHF middle term rate</v>
          </cell>
        </row>
        <row r="27">
          <cell r="B27" t="str">
            <v>CHF langfristiger Zinssatz</v>
          </cell>
          <cell r="C27" t="str">
            <v>_longTerm</v>
          </cell>
          <cell r="D27" t="str">
            <v>CHF langfristiger Zinssatz</v>
          </cell>
          <cell r="E27" t="str">
            <v>CHF taux à long terme</v>
          </cell>
          <cell r="F27" t="str">
            <v>CHF long term rate</v>
          </cell>
        </row>
        <row r="28">
          <cell r="C28" t="str">
            <v>T.02.2</v>
          </cell>
          <cell r="D28" t="str">
            <v>Risikolose Zinskurve r(t) per 31.12.2023</v>
          </cell>
          <cell r="E28" t="str">
            <v>Taux d'interêt sans risque r(t) au 31.12.2023</v>
          </cell>
          <cell r="F28" t="str">
            <v>Risk-free interest rates r(t) as of 31.12.2023</v>
          </cell>
        </row>
        <row r="29">
          <cell r="C29" t="str">
            <v>T.02.3</v>
          </cell>
          <cell r="D29" t="str">
            <v>Diskontfaktoren auf Basis der risikolosen Zinskurve r(t); Diskontfunktion n(t) = (1+r(t))^(-t)</v>
          </cell>
          <cell r="E29" t="str">
            <v>Facteurs d'actualisation basés sur les taux d'interêts sans risque r(t); 
fonction d'actualisation n(t) = (1+r(t))^(-t)</v>
          </cell>
          <cell r="F29" t="str">
            <v>Discount factors based on the risk-free interest rates r(t); discount function n(t) = (1+r(t))^(-t)</v>
          </cell>
        </row>
        <row r="30">
          <cell r="C30" t="str">
            <v>T.02.4</v>
          </cell>
          <cell r="D30" t="str">
            <v>Historische Rendite Bundesobligationen Eidgenossenschaft</v>
          </cell>
          <cell r="E30" t="str">
            <v>Rendement des obligations de la Confédération</v>
          </cell>
          <cell r="F30" t="str">
            <v>Yield on Swiss Confederation bonds</v>
          </cell>
        </row>
        <row r="31">
          <cell r="C31" t="str">
            <v>T.02.5</v>
          </cell>
          <cell r="D31" t="str">
            <v>Kassazinssatz bei einer Laufzeit von 10 Jahre</v>
          </cell>
          <cell r="E31" t="str">
            <v>Taux d'intérêt au comptant pour une durée résiduelle de 10 ans</v>
          </cell>
          <cell r="F31" t="str">
            <v>Spot interest rate for 10-year maturities</v>
          </cell>
        </row>
        <row r="32">
          <cell r="C32" t="str">
            <v>T.02.6</v>
          </cell>
          <cell r="D32" t="str">
            <v>Durchschnitt der 10-jährigen Renditen Bundesobligationen der letzten 10 Jahre per 31.12.2023</v>
          </cell>
          <cell r="E32" t="str">
            <v>Moyenne des rendements des obligations de la Confédération à 10 ans sur les 10 dernières années au 31.12.2023</v>
          </cell>
          <cell r="F32" t="str">
            <v>Average of the Swiss confederation bond yield over the last 10 years as of 31.12.2023</v>
          </cell>
        </row>
        <row r="33">
          <cell r="C33" t="str">
            <v>T.02.7</v>
          </cell>
          <cell r="D33" t="str">
            <v>phi 10/10-Zinsen</v>
          </cell>
          <cell r="E33" t="str">
            <v>Taux phi 10/10</v>
          </cell>
          <cell r="F33" t="str">
            <v>phi 10/10-rates</v>
          </cell>
        </row>
        <row r="34">
          <cell r="C34" t="str">
            <v>T.02.8</v>
          </cell>
          <cell r="D34" t="str">
            <v>Verbraucherpreisinflation per 31.12.2023</v>
          </cell>
          <cell r="E34" t="str">
            <v>Inflation de l'indice des prix à la consommation au 31.12.2023</v>
          </cell>
          <cell r="F34" t="str">
            <v>Consumer price inflation as of 31.12.2023</v>
          </cell>
        </row>
        <row r="35">
          <cell r="C35" t="str">
            <v>T.02.9</v>
          </cell>
          <cell r="D35" t="str">
            <v xml:space="preserve">Verbraucherpreisinflation CHF </v>
          </cell>
          <cell r="E35" t="str">
            <v>Inflation CHF</v>
          </cell>
          <cell r="F35" t="str">
            <v>Consumer price inflation CHF</v>
          </cell>
        </row>
        <row r="36">
          <cell r="C36" t="str">
            <v>T.02.10</v>
          </cell>
          <cell r="D36" t="str">
            <v>UVG technischer Zins z(0) und Diskontfaktoren auf Basis z(0); Diskontfunktion: n(t) = (1+z(0))^(-t)</v>
          </cell>
          <cell r="E36" t="str">
            <v>Taux technique de la LAA z(0) et facteurs d'actualisation sur la base z(0); fonction d'actualisation: n(t) = (1+z(0))^(-t)</v>
          </cell>
          <cell r="F36" t="str">
            <v>UVG technical rate z(0) and discount factors based on z(0): Discounting function: n(t) = (1+z(0))^(-t)</v>
          </cell>
        </row>
        <row r="37">
          <cell r="C37" t="str">
            <v>T.02.11</v>
          </cell>
          <cell r="D37" t="str">
            <v xml:space="preserve">UVG technischer Zins </v>
          </cell>
          <cell r="E37" t="str">
            <v>Taux technique de la LAA</v>
          </cell>
          <cell r="F37" t="str">
            <v>UVG technical rate</v>
          </cell>
        </row>
        <row r="38">
          <cell r="C38" t="str">
            <v>T.02.12</v>
          </cell>
          <cell r="D38" t="str">
            <v>Diskonfaktoren</v>
          </cell>
          <cell r="E38" t="str">
            <v xml:space="preserve">Facteurs d'actualisation </v>
          </cell>
          <cell r="F38" t="str">
            <v>Discounting rates</v>
          </cell>
        </row>
        <row r="39">
          <cell r="C39" t="str">
            <v>T.02.13</v>
          </cell>
          <cell r="D39" t="str">
            <v>Prozentsatz für Umlagebeiträge (Prämienzuschlag) am 1.01.2024</v>
          </cell>
          <cell r="E39" t="str">
            <v>Pourcentage pour les contributions de répartition (supplément de prime) au 1.01.2024</v>
          </cell>
          <cell r="F39" t="str">
            <v>Premium surcharge as of 1.01.2024</v>
          </cell>
        </row>
        <row r="40">
          <cell r="C40" t="str">
            <v>T.02.14</v>
          </cell>
          <cell r="D40" t="str">
            <v>Auslenkung der Risikofaktoren: CHF-Zinssatz</v>
          </cell>
          <cell r="E40" t="str">
            <v xml:space="preserve">Déviation des taux d'intérêt: CHF </v>
          </cell>
          <cell r="F40" t="str">
            <v>Change in risk factors: CHF interest rates</v>
          </cell>
        </row>
        <row r="41">
          <cell r="C41" t="str">
            <v>T.02.15</v>
          </cell>
          <cell r="D41" t="str">
            <v>Auslenkungsintensität in bp</v>
          </cell>
          <cell r="E41" t="str">
            <v>Intensité de la déviation en points de base</v>
          </cell>
          <cell r="F41" t="str">
            <v>Change intensity in bp</v>
          </cell>
        </row>
        <row r="42">
          <cell r="C42" t="str">
            <v>T.02.16</v>
          </cell>
          <cell r="D42" t="str">
            <v>Risikofaktor</v>
          </cell>
          <cell r="E42" t="str">
            <v>Facteur de risque</v>
          </cell>
          <cell r="F42" t="str">
            <v>Risk factor</v>
          </cell>
        </row>
        <row r="43">
          <cell r="C43" t="str">
            <v>T.02.17</v>
          </cell>
          <cell r="D43" t="str">
            <v>Auslenkungs richtung</v>
          </cell>
          <cell r="E43" t="str">
            <v xml:space="preserve">Sens de la déviation </v>
          </cell>
          <cell r="F43" t="str">
            <v>Change direction</v>
          </cell>
        </row>
        <row r="44">
          <cell r="C44" t="str">
            <v>T.02.18</v>
          </cell>
          <cell r="D44" t="str">
            <v>Zinsinterval</v>
          </cell>
          <cell r="E44" t="str">
            <v xml:space="preserve">Intervalle </v>
          </cell>
          <cell r="F44" t="str">
            <v>Interval</v>
          </cell>
        </row>
        <row r="45">
          <cell r="C45" t="str">
            <v>T.02.19</v>
          </cell>
          <cell r="D45" t="str">
            <v>Jahr</v>
          </cell>
          <cell r="E45" t="str">
            <v>Année</v>
          </cell>
          <cell r="F45" t="str">
            <v>Year</v>
          </cell>
        </row>
        <row r="46">
          <cell r="C46" t="str">
            <v>T.02.20</v>
          </cell>
          <cell r="D46" t="str">
            <v>Inflationskurve CHF (spot rates)</v>
          </cell>
          <cell r="E46" t="str">
            <v>Inflation CHF (spot rates)</v>
          </cell>
          <cell r="F46" t="str">
            <v>Inflation curve CHF (spot rates)</v>
          </cell>
        </row>
        <row r="48">
          <cell r="C48" t="str">
            <v>T.03.1</v>
          </cell>
          <cell r="D48" t="str">
            <v>UVG-Inputdaten</v>
          </cell>
          <cell r="E48" t="str">
            <v xml:space="preserve">Données d'entrée LAA </v>
          </cell>
          <cell r="F48" t="str">
            <v>UVG Input Data</v>
          </cell>
        </row>
        <row r="49">
          <cell r="B49" t="str">
            <v xml:space="preserve">Neurente im Jahr </v>
          </cell>
          <cell r="C49" t="str">
            <v>_neurente</v>
          </cell>
          <cell r="D49" t="str">
            <v xml:space="preserve">Neurente im Jahr </v>
          </cell>
          <cell r="E49" t="str">
            <v xml:space="preserve">Nouvelles rentes de l'année </v>
          </cell>
          <cell r="F49" t="str">
            <v xml:space="preserve">New annuities in year </v>
          </cell>
        </row>
        <row r="50">
          <cell r="C50" t="str">
            <v>T.03.2</v>
          </cell>
          <cell r="D50" t="str">
            <v>Stichtag</v>
          </cell>
          <cell r="E50" t="str">
            <v>Date de référence</v>
          </cell>
          <cell r="F50" t="str">
            <v>Reporting date</v>
          </cell>
        </row>
        <row r="51">
          <cell r="C51" t="str">
            <v>T.03.3</v>
          </cell>
          <cell r="D51" t="str">
            <v>Statutarisches Deckungskapital für Grundrente</v>
          </cell>
          <cell r="E51" t="str">
            <v>Réserve mathématique (capital de couverture) pour la rente de base</v>
          </cell>
          <cell r="F51" t="str">
            <v>Statutory reserve for the base annuity</v>
          </cell>
        </row>
        <row r="52">
          <cell r="C52" t="str">
            <v>T.03.4</v>
          </cell>
          <cell r="D52" t="str">
            <v>Best Estimate-Wert der Grundrente</v>
          </cell>
          <cell r="E52" t="str">
            <v>Valeur best estimate de la rente de base</v>
          </cell>
          <cell r="F52" t="str">
            <v>Best estimate of the base annuity</v>
          </cell>
        </row>
        <row r="53">
          <cell r="C53" t="str">
            <v>T.03.5</v>
          </cell>
          <cell r="D53" t="str">
            <v>Schadenrückstellung für Langfristleistungen</v>
          </cell>
          <cell r="E53" t="str">
            <v>Provision initiale pour les prestations à long terme</v>
          </cell>
          <cell r="F53" t="str">
            <v>Entry provision for long term benefits</v>
          </cell>
        </row>
        <row r="54">
          <cell r="C54" t="str">
            <v>T.03.6</v>
          </cell>
          <cell r="D54" t="str">
            <v>Schadenrückstellung für Kurzfristleistungen</v>
          </cell>
          <cell r="E54" t="str">
            <v>Provision initiale pour les prestations à court terme</v>
          </cell>
          <cell r="F54" t="str">
            <v>Entry provision for short term benefits</v>
          </cell>
        </row>
        <row r="55">
          <cell r="C55" t="str">
            <v>T.03.7</v>
          </cell>
          <cell r="D55" t="str">
            <v>Schadenrückstellung für Langfristleistungen, davon</v>
          </cell>
          <cell r="E55" t="str">
            <v>Provision pour les prestations à long terme, dont</v>
          </cell>
          <cell r="F55" t="str">
            <v>Provision for long term benefits, thereof</v>
          </cell>
        </row>
        <row r="56">
          <cell r="C56" t="str">
            <v>T.03.8</v>
          </cell>
          <cell r="D56" t="str">
            <v xml:space="preserve">          künftige Rentenfälle</v>
          </cell>
          <cell r="E56" t="str">
            <v>rentes futures</v>
          </cell>
          <cell r="F56" t="str">
            <v xml:space="preserve">      Future annuities</v>
          </cell>
        </row>
        <row r="57">
          <cell r="C57" t="str">
            <v>T.03.9</v>
          </cell>
          <cell r="D57" t="str">
            <v xml:space="preserve">          übrige Langfristleistungen</v>
          </cell>
          <cell r="E57" t="str">
            <v>autres préstations à long terme</v>
          </cell>
          <cell r="F57" t="str">
            <v xml:space="preserve">      Remaining log term liabilities</v>
          </cell>
        </row>
        <row r="58">
          <cell r="C58" t="str">
            <v>T.03.10</v>
          </cell>
          <cell r="D58" t="str">
            <v>Festgesetzte Teuerungszulagen</v>
          </cell>
          <cell r="E58" t="str">
            <v>Allocations de renchérissement fixées</v>
          </cell>
          <cell r="F58" t="str">
            <v>Stipulated dearness allowances</v>
          </cell>
        </row>
        <row r="59">
          <cell r="C59" t="str">
            <v>T.03.11</v>
          </cell>
          <cell r="D59" t="str">
            <v>geäufnetes Guthaben des Teuerungsfonds</v>
          </cell>
          <cell r="E59" t="str">
            <v>Avoir accumulé du fonds de renchérissement</v>
          </cell>
          <cell r="F59" t="str">
            <v>Accrued assets of the dearness funds</v>
          </cell>
        </row>
        <row r="60">
          <cell r="C60" t="str">
            <v>T.03.12</v>
          </cell>
          <cell r="D60" t="str">
            <v>Inkrementelle Zahlungsmuster für restliche Langfristrückstellungen ab dem Jahr 2024 (in %)</v>
          </cell>
          <cell r="E60" t="str">
            <v>Cadence de paiements incrémentielle 2024 (en %)</v>
          </cell>
          <cell r="F60" t="str">
            <v>Incremental payment pattern for remaining long term provisions starting from 2024 (in %)</v>
          </cell>
        </row>
        <row r="61">
          <cell r="C61" t="str">
            <v>T.03.13</v>
          </cell>
          <cell r="D61" t="str">
            <v>Inkrementelle Zahlungsmuster für künftige Neurenten ab dem Jahr 2024 (in Mio. CHF; jeweils am Ende des Jahres)</v>
          </cell>
          <cell r="E61" t="str">
            <v>Cash flows 2024 (in Mio. CHF)</v>
          </cell>
          <cell r="F61" t="str">
            <v>Cash flows for future annuities starting from year 2024 (in mio. CHF; at the end of each year)</v>
          </cell>
        </row>
        <row r="62">
          <cell r="C62" t="str">
            <v>T.03.14</v>
          </cell>
          <cell r="D62" t="str">
            <v>Zahlungsströme</v>
          </cell>
          <cell r="E62" t="str">
            <v>Cash flows</v>
          </cell>
          <cell r="F62" t="str">
            <v>Cash flows</v>
          </cell>
        </row>
        <row r="63">
          <cell r="C63" t="str">
            <v>T.03.15</v>
          </cell>
          <cell r="D63" t="str">
            <v>Barwerte am 1.01.2024 (in Mio. CHF)</v>
          </cell>
          <cell r="E63" t="str">
            <v>Valeur actualisée au 1.01.2024 (in Mio. CHF)</v>
          </cell>
          <cell r="F63" t="str">
            <v>Present values at 1.01.2024 (in Mio. CHF)</v>
          </cell>
        </row>
        <row r="64">
          <cell r="C64" t="str">
            <v>T.03.16</v>
          </cell>
          <cell r="D64" t="str">
            <v>Inkrementelle Zahlungsmuster für Leistungen am 1.01.2024 (in %)</v>
          </cell>
          <cell r="E64" t="str">
            <v>Cadence de paiements incrémentielle au 1.01.2024 (en %)</v>
          </cell>
          <cell r="F64" t="str">
            <v>Incremental payment pattern for provisions on 1.01.2024 (in %)</v>
          </cell>
        </row>
        <row r="65">
          <cell r="C65" t="str">
            <v>T.03.17</v>
          </cell>
          <cell r="D65" t="str">
            <v>Umlagebeitrag im Jahr 2024 (in Mio. CHF)</v>
          </cell>
          <cell r="E65" t="str">
            <v>Contributions de répartition pour 2024 (in Mio. CHF)</v>
          </cell>
          <cell r="F65" t="str">
            <v>Premium contribution in year 2024 (in Mio. CHF)</v>
          </cell>
        </row>
        <row r="66">
          <cell r="C66" t="str">
            <v>T.03.18</v>
          </cell>
          <cell r="D66" t="str">
            <v>Durchschnittliche Auszahlung an andere Poolmitglieder (in Mio. CHF)</v>
          </cell>
          <cell r="E66" t="str">
            <v>Versement moyen aux autres membres du pool (in Mio. CHF)</v>
          </cell>
          <cell r="F66" t="str">
            <v>Average payment to other pool members (in mio. CHF)</v>
          </cell>
        </row>
        <row r="67">
          <cell r="C67" t="str">
            <v>T.03.19</v>
          </cell>
          <cell r="D67" t="str">
            <v>Übrige Schadenrückstellung für Langfristleistungen</v>
          </cell>
          <cell r="E67" t="str">
            <v xml:space="preserve">Provision restante </v>
          </cell>
          <cell r="F67" t="str">
            <v>Other reserves of long term liabilities</v>
          </cell>
        </row>
        <row r="68">
          <cell r="C68" t="str">
            <v>T.03.20</v>
          </cell>
          <cell r="D68" t="str">
            <v xml:space="preserve">Verpflichtungen des UVG-Bestandes </v>
          </cell>
          <cell r="E68" t="str">
            <v>Engagements du portefeuille LAA</v>
          </cell>
          <cell r="F68" t="str">
            <v>Obligations of the UVG portfolio</v>
          </cell>
        </row>
        <row r="69">
          <cell r="C69" t="str">
            <v>T.03.21</v>
          </cell>
          <cell r="D69" t="str">
            <v>Statutarische Werte</v>
          </cell>
          <cell r="E69" t="str">
            <v>Valeurs statutaires</v>
          </cell>
          <cell r="F69" t="str">
            <v>Statutory values</v>
          </cell>
        </row>
        <row r="70">
          <cell r="C70" t="str">
            <v>T.03.22</v>
          </cell>
          <cell r="D70" t="str">
            <v>Best Estimate Werte 
nicht diskontiert</v>
          </cell>
          <cell r="E70" t="str">
            <v>Valeurs best estimate non actualisées</v>
          </cell>
          <cell r="F70" t="str">
            <v>Best estimate values non-discounted</v>
          </cell>
        </row>
        <row r="71">
          <cell r="C71" t="str">
            <v>T.03.24</v>
          </cell>
          <cell r="D71" t="str">
            <v>Schadenrückstellung Total</v>
          </cell>
          <cell r="E71" t="str">
            <v>Provision totale</v>
          </cell>
          <cell r="F71" t="str">
            <v>Claim provision total</v>
          </cell>
        </row>
        <row r="72">
          <cell r="C72" t="str">
            <v>T.03.25</v>
          </cell>
          <cell r="D72" t="str">
            <v>Auszahlungsjahr</v>
          </cell>
          <cell r="E72" t="str">
            <v>Année de versement</v>
          </cell>
          <cell r="F72" t="str">
            <v>Payment year</v>
          </cell>
        </row>
        <row r="73">
          <cell r="C73" t="str">
            <v>T.03.26</v>
          </cell>
          <cell r="D73" t="str">
            <v>Statutarisches Deckungskapital für künftige Neurenten ab dem Jahr 2024 (in Mio. CHF; jeweils am Ende des Jahres)</v>
          </cell>
          <cell r="E73" t="str">
            <v>Réserve mathématique pour les nouvelles rentes  (in Mio. CHF)</v>
          </cell>
          <cell r="F73" t="str">
            <v>Statutory reserve for the future annuities (in mio. CHF; at the end of each year)</v>
          </cell>
        </row>
        <row r="74">
          <cell r="C74" t="str">
            <v>T.03.27</v>
          </cell>
          <cell r="D74" t="str">
            <v>ULAE Rückstellungen</v>
          </cell>
          <cell r="E74" t="str">
            <v xml:space="preserve">Provision ULAE </v>
          </cell>
          <cell r="F74" t="str">
            <v>ULAE reserves</v>
          </cell>
        </row>
        <row r="75">
          <cell r="C75" t="str">
            <v>T.03.28</v>
          </cell>
          <cell r="D75" t="str">
            <v>Best Estimate Werte 
diskontiert</v>
          </cell>
          <cell r="E75" t="str">
            <v>Valeurs best estimate actualisées</v>
          </cell>
          <cell r="F75" t="str">
            <v>Best estimate values discounted</v>
          </cell>
        </row>
        <row r="76">
          <cell r="C76" t="str">
            <v>T.03.29</v>
          </cell>
          <cell r="D76" t="str">
            <v>Bewertungsjahr</v>
          </cell>
          <cell r="E76" t="str">
            <v>Année d'évaluation</v>
          </cell>
          <cell r="F76" t="str">
            <v>Valuation year</v>
          </cell>
        </row>
        <row r="78">
          <cell r="C78" t="str">
            <v>T.04.1</v>
          </cell>
          <cell r="D78" t="str">
            <v>Bewertung der UVG-Verpflichtungen am t=0</v>
          </cell>
          <cell r="E78" t="str">
            <v>LAA évaluation à t=0</v>
          </cell>
          <cell r="F78" t="str">
            <v>Valuation of the UVG Liabilities at t=0</v>
          </cell>
        </row>
        <row r="79">
          <cell r="C79" t="str">
            <v>T.04.2</v>
          </cell>
          <cell r="D79" t="str">
            <v>Best Estimate Werte am 1.01.2024 (in Mio. CHF)</v>
          </cell>
          <cell r="E79" t="str">
            <v>Valeur best estimate au 1.1.2024 (in Mio. CHF)</v>
          </cell>
          <cell r="F79" t="str">
            <v>Best Estimate values at 1.01.2024 (in Mio. CHF)</v>
          </cell>
        </row>
        <row r="80">
          <cell r="C80" t="str">
            <v>T.04.3</v>
          </cell>
          <cell r="D80" t="str">
            <v>Barwertfaktor</v>
          </cell>
          <cell r="E80" t="str">
            <v>Facteur d'actualisation</v>
          </cell>
          <cell r="F80" t="str">
            <v>Present values factor</v>
          </cell>
        </row>
        <row r="81">
          <cell r="C81" t="str">
            <v>T.04.4</v>
          </cell>
          <cell r="D81" t="str">
            <v>diskontiert</v>
          </cell>
          <cell r="E81" t="str">
            <v>Valeur actualisée</v>
          </cell>
          <cell r="F81" t="str">
            <v>discounted</v>
          </cell>
        </row>
        <row r="82">
          <cell r="C82" t="str">
            <v>T.04.5</v>
          </cell>
          <cell r="D82" t="str">
            <v>nicht diskontiert</v>
          </cell>
          <cell r="E82" t="str">
            <v xml:space="preserve">Valeur non actualisée </v>
          </cell>
          <cell r="F82" t="str">
            <v xml:space="preserve">non-discounted </v>
          </cell>
        </row>
        <row r="83">
          <cell r="C83" t="str">
            <v>T.04.6</v>
          </cell>
          <cell r="D83" t="str">
            <v>Best Estimate-Wert der Teuerungszulagen</v>
          </cell>
          <cell r="E83" t="str">
            <v>Valeur best estimate de compris les allocations de renchérissement</v>
          </cell>
          <cell r="F83" t="str">
            <v>Best Estimate value of the inflation allowance</v>
          </cell>
        </row>
        <row r="84">
          <cell r="C84" t="str">
            <v>T.04.7</v>
          </cell>
          <cell r="D84" t="str">
            <v>Barwert des Teuerungsfonds am Ende der Abwicklung</v>
          </cell>
          <cell r="E84" t="str">
            <v>Valeur actualisée fonds de renchérissement</v>
          </cell>
          <cell r="F84" t="str">
            <v>Present value of the Inflation Funds at the end of runoff</v>
          </cell>
        </row>
        <row r="85">
          <cell r="C85" t="str">
            <v>T.04.8</v>
          </cell>
          <cell r="D85" t="str">
            <v>Total UVG-Verpflichtungen</v>
          </cell>
          <cell r="E85" t="str">
            <v>engagements du portefeuille LAA</v>
          </cell>
          <cell r="F85" t="str">
            <v>Total obligations of the UVG portfolio</v>
          </cell>
        </row>
        <row r="86">
          <cell r="C86" t="str">
            <v>T.04.9</v>
          </cell>
          <cell r="D86" t="str">
            <v>Zahlungen für am 1.01.2024 bestehende Renten</v>
          </cell>
          <cell r="E86" t="str">
            <v>Paiements pour les pensions existantes au 1.01.2024</v>
          </cell>
          <cell r="F86" t="str">
            <v>Payments for at 1.01.2024 valid annuities</v>
          </cell>
        </row>
        <row r="87">
          <cell r="C87" t="str">
            <v>T.04.10</v>
          </cell>
          <cell r="D87" t="str">
            <v>Zahlungen für neue Renten ab 1.01.2024</v>
          </cell>
          <cell r="E87" t="str">
            <v>Paiements pour les nouvelles pensions à partir du 1.01.2024</v>
          </cell>
          <cell r="F87" t="str">
            <v>Payments for new annuities valid after 1.01.2024</v>
          </cell>
        </row>
        <row r="88">
          <cell r="C88" t="str">
            <v>T.04.11</v>
          </cell>
          <cell r="D88" t="str">
            <v>Zahlungen der Teuerungszulagen, davon</v>
          </cell>
          <cell r="E88" t="str">
            <v>Paiements des allocations de renchérissement, dont</v>
          </cell>
          <cell r="F88" t="str">
            <v>Payments of inflation allowence, thereof</v>
          </cell>
        </row>
        <row r="89">
          <cell r="C89" t="str">
            <v>T.04.12</v>
          </cell>
          <cell r="D89" t="str">
            <v>bis 1.01.2024 gesprochene Teuerungszulagen</v>
          </cell>
          <cell r="E89" t="str">
            <v>Allocations de renchérissement accordées jusqu'au 1.01.2024</v>
          </cell>
          <cell r="F89" t="str">
            <v>Inflation allowence set till 1.01.2024</v>
          </cell>
        </row>
        <row r="90">
          <cell r="C90" t="str">
            <v>T.04.13</v>
          </cell>
          <cell r="D90" t="str">
            <v>ab 1.01.2024 zuerkannte Teuerungszulagen, davon</v>
          </cell>
          <cell r="E90" t="str">
            <v>Allocations de renchérissement attribuées à partir du 1.01.2024, dont</v>
          </cell>
          <cell r="F90" t="str">
            <v>Inflation allowence set after 1.01.2024, thereof</v>
          </cell>
        </row>
        <row r="91">
          <cell r="C91" t="str">
            <v>T.04.14</v>
          </cell>
          <cell r="D91" t="str">
            <v>für bisherigen Renten</v>
          </cell>
          <cell r="E91" t="str">
            <v>pour les anciennes rentes</v>
          </cell>
          <cell r="F91" t="str">
            <v>for previous annuities</v>
          </cell>
        </row>
        <row r="92">
          <cell r="C92" t="str">
            <v>T.04.15</v>
          </cell>
          <cell r="D92" t="str">
            <v>für neue Renten</v>
          </cell>
          <cell r="E92" t="str">
            <v>pour les nouvelles rentes</v>
          </cell>
          <cell r="F92" t="str">
            <v>for new annuities</v>
          </cell>
        </row>
        <row r="93">
          <cell r="C93" t="str">
            <v>T.04.16</v>
          </cell>
          <cell r="D93" t="str">
            <v>Zinseinnahmen, davon</v>
          </cell>
          <cell r="E93" t="str">
            <v>Recettes d'intérêt, dont</v>
          </cell>
          <cell r="F93" t="str">
            <v>Interest income, thereof</v>
          </cell>
        </row>
        <row r="94">
          <cell r="C94" t="str">
            <v>T.04.17</v>
          </cell>
          <cell r="D94" t="str">
            <v>Zinsüberschüsse</v>
          </cell>
          <cell r="E94" t="str">
            <v>Excédents d'intérêt</v>
          </cell>
          <cell r="F94" t="str">
            <v>Interest surpluses </v>
          </cell>
        </row>
        <row r="95">
          <cell r="C95" t="str">
            <v>T.04.18</v>
          </cell>
          <cell r="D95" t="str">
            <v>Zusatzfinanzierung</v>
          </cell>
          <cell r="E95" t="str">
            <v>Financement de l'intérêt supplémentaire</v>
          </cell>
          <cell r="F95" t="str">
            <v>Additional financing</v>
          </cell>
        </row>
        <row r="96">
          <cell r="C96" t="str">
            <v>T.04.19</v>
          </cell>
          <cell r="D96" t="str">
            <v>Zinserträge auf Teuerungsfonds</v>
          </cell>
          <cell r="E96" t="str">
            <v>Fonds de renchérissement</v>
          </cell>
          <cell r="F96" t="str">
            <v>Interest income on Inflation Funds</v>
          </cell>
        </row>
        <row r="97">
          <cell r="C97" t="str">
            <v>T.04.20</v>
          </cell>
          <cell r="D97" t="str">
            <v>Umlagebeiträge</v>
          </cell>
          <cell r="E97" t="str">
            <v>Contributions de répartition</v>
          </cell>
          <cell r="F97" t="str">
            <v>Premium surcharge</v>
          </cell>
        </row>
        <row r="98">
          <cell r="C98" t="str">
            <v>T.04.21</v>
          </cell>
          <cell r="D98" t="str">
            <v>Ausgleichszahlungen</v>
          </cell>
          <cell r="E98" t="str">
            <v>Payements de compensation</v>
          </cell>
          <cell r="F98" t="str">
            <v xml:space="preserve">Financial compensation </v>
          </cell>
        </row>
        <row r="99">
          <cell r="C99" t="str">
            <v>T.04.22</v>
          </cell>
          <cell r="D99" t="str">
            <v>Auszahlung des Teuerungsfonds am Ende der Abwicklung</v>
          </cell>
          <cell r="E99" t="str">
            <v>Fonds de renchérissement</v>
          </cell>
          <cell r="F99" t="str">
            <v>Inflation Funds</v>
          </cell>
        </row>
        <row r="100">
          <cell r="C100" t="str">
            <v>T.04.23</v>
          </cell>
          <cell r="D100" t="str">
            <v>Inkrementelle Zahlungsflüsse (in Mio. CHF; jeweils am Ende des Jahres)</v>
          </cell>
          <cell r="E100" t="str">
            <v>Cash flows Cash flows incrémentaux (en millions de CHF ; à la fin de chaque année)</v>
          </cell>
          <cell r="F100" t="str">
            <v>Incremental cash flows (in mio. CHF; by end of the year)</v>
          </cell>
        </row>
        <row r="101">
          <cell r="C101" t="str">
            <v>T.04.24</v>
          </cell>
          <cell r="D101" t="str">
            <v>Entwicklung der Verpflichtungen über die Zeit (in Mio. CHF; jeweils am Anfang des Jahres)</v>
          </cell>
          <cell r="E101" t="str">
            <v>Évolution des engagements dans le temps (en millions de CHF ; au début de chaque année)</v>
          </cell>
          <cell r="F101" t="str">
            <v>Liability run off over the time (in mio. CHF; at the beginning of the year)</v>
          </cell>
        </row>
        <row r="102">
          <cell r="C102" t="str">
            <v>T.04.25</v>
          </cell>
          <cell r="D102" t="str">
            <v>Statutarische Deckungskapital für Grundrente, davon</v>
          </cell>
          <cell r="E102" t="str">
            <v xml:space="preserve">Réserve mathématique (capital de couverture) pour la rente de base, </v>
          </cell>
          <cell r="F102" t="str">
            <v>Statutory reserve for the base annuitiy, thereof</v>
          </cell>
        </row>
        <row r="103">
          <cell r="C103" t="str">
            <v>T.04.26</v>
          </cell>
          <cell r="D103" t="str">
            <v>Stand des Teuerungsfonds</v>
          </cell>
          <cell r="E103" t="str">
            <v>Fonds de renchérissement</v>
          </cell>
          <cell r="F103" t="str">
            <v>Inflation Funds</v>
          </cell>
        </row>
        <row r="104">
          <cell r="C104" t="str">
            <v>T.04.27</v>
          </cell>
          <cell r="D104" t="str">
            <v>Best Estimate-Wert der Ausgleichszahlungen</v>
          </cell>
          <cell r="E104" t="str">
            <v>Valeur best estimate des payements de compensation</v>
          </cell>
          <cell r="F104" t="str">
            <v xml:space="preserve">Best Estimate value of the financial compensation </v>
          </cell>
        </row>
        <row r="105">
          <cell r="C105" t="str">
            <v>T.04.28</v>
          </cell>
          <cell r="D105" t="str">
            <v>eigenfinanziert</v>
          </cell>
          <cell r="E105" t="str">
            <v>autofinancée</v>
          </cell>
        </row>
        <row r="106">
          <cell r="C106" t="str">
            <v>T.04.29</v>
          </cell>
          <cell r="D106" t="str">
            <v>finanziert durch eingehende Umlagebeitäge und Ausgleichszahlungen</v>
          </cell>
          <cell r="E106" t="str">
            <v>financée par des contributions de répartition et des payements de compensation</v>
          </cell>
        </row>
        <row r="107">
          <cell r="C107" t="str">
            <v>T.04.30</v>
          </cell>
          <cell r="D107" t="str">
            <v>Best Estimate-Wert der Umlagebeiträge</v>
          </cell>
          <cell r="E107" t="str">
            <v>Valeur best estimate des contributions de répartition</v>
          </cell>
          <cell r="F107" t="str">
            <v>Best Estimate value of the premium surcharge</v>
          </cell>
        </row>
        <row r="108">
          <cell r="B108" t="str">
            <v xml:space="preserve">Anfang </v>
          </cell>
          <cell r="C108" t="str">
            <v>_start</v>
          </cell>
          <cell r="D108" t="str">
            <v xml:space="preserve">Anfang </v>
          </cell>
          <cell r="E108" t="str">
            <v>Début</v>
          </cell>
          <cell r="F108" t="str">
            <v xml:space="preserve">Beginn of </v>
          </cell>
        </row>
        <row r="109">
          <cell r="B109" t="str">
            <v xml:space="preserve">Ende </v>
          </cell>
          <cell r="C109" t="str">
            <v>_end</v>
          </cell>
          <cell r="D109" t="str">
            <v xml:space="preserve">Ende </v>
          </cell>
          <cell r="E109" t="str">
            <v xml:space="preserve">Fin </v>
          </cell>
          <cell r="F109" t="str">
            <v xml:space="preserve">End of 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_SM_Nonlife"/>
      <sheetName val="Update"/>
      <sheetName val="list_of_sheets"/>
      <sheetName val="Glossary"/>
      <sheetName val="Inputparam"/>
      <sheetName val="NL_LOB"/>
      <sheetName val="NL_SST_Default_Payment_Pattern"/>
      <sheetName val="NL_Default_Parameter"/>
      <sheetName val="NL_Default_Correlations"/>
      <sheetName val="NL_Segments_CH_direct"/>
      <sheetName val="NL_Segments_Non-CH_direct"/>
      <sheetName val="NL_Segments_active_RI"/>
      <sheetName val="NL_UVG"/>
      <sheetName val="NL_Insurance_Risk"/>
      <sheetName val="NL_Insurance_Risk_default"/>
      <sheetName val="NL_MVM"/>
      <sheetName val="NL_ExpecdtRes"/>
      <sheetName val="NL_Distributions"/>
      <sheetName val="NL_Input_SST_Template"/>
      <sheetName val="NL_Tests"/>
      <sheetName val="ValuesCH"/>
      <sheetName val="ValuesNon_CH"/>
      <sheetName val="ValuesRI"/>
      <sheetName val="Names"/>
    </sheetNames>
    <sheetDataSet>
      <sheetData sheetId="0"/>
      <sheetData sheetId="1"/>
      <sheetData sheetId="2"/>
      <sheetData sheetId="3">
        <row r="160">
          <cell r="C160" t="str">
            <v>Provisions pour sinistres initiales au 1.1.2024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_SM_Nonlife"/>
      <sheetName val="Update"/>
      <sheetName val="list_of_sheets"/>
      <sheetName val="Glossary"/>
      <sheetName val="Inputparam"/>
      <sheetName val="NL_LOB"/>
      <sheetName val="NL_SST_Default_Payment_Pattern"/>
      <sheetName val="NL_Default_Parameter"/>
      <sheetName val="NL_Default_Correlations"/>
      <sheetName val="NL_Segments_CH_direct"/>
      <sheetName val="NL_Segments_Non-CH_direct"/>
      <sheetName val="NL_Segments_active_RI"/>
      <sheetName val="NL_UVG"/>
      <sheetName val="NL_Insurance_Risk"/>
      <sheetName val="NL_Insurance_Risk_default"/>
      <sheetName val="NL_MVM"/>
      <sheetName val="NL_ExpecdtRes"/>
      <sheetName val="NL_Distributions"/>
      <sheetName val="NL_Input_SST_Template"/>
      <sheetName val="NL_Tests"/>
      <sheetName val="ValuesCH"/>
      <sheetName val="ValuesNon_CH"/>
      <sheetName val="ValuesRI"/>
      <sheetName val="Names"/>
    </sheetNames>
    <sheetDataSet>
      <sheetData sheetId="0"/>
      <sheetData sheetId="1"/>
      <sheetData sheetId="2"/>
      <sheetData sheetId="3">
        <row r="160">
          <cell r="C160" t="str">
            <v>Provisions pour sinistres initiales au 1.1.2024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ro_SM_Nonlife"/>
      <sheetName val="Update"/>
      <sheetName val="list_of_sheets"/>
      <sheetName val="Glossary"/>
      <sheetName val="Inputparam"/>
      <sheetName val="NL_LOB"/>
      <sheetName val="NL_SST_Default_Payment_Pattern"/>
      <sheetName val="NL_Default_Parameter"/>
      <sheetName val="NL_Default_Correlations"/>
      <sheetName val="NL_Segments_CH_direct"/>
      <sheetName val="NL_Segments_Non-CH_direct"/>
      <sheetName val="NL_Segments_active_RI"/>
      <sheetName val="NL_Insurance_Risk"/>
      <sheetName val="NL_Insurance_Risk_default"/>
      <sheetName val="NL_MVM"/>
      <sheetName val="NL_ExpecdtRes"/>
      <sheetName val="NL_Distributions"/>
      <sheetName val="NL_Input_SST_Template"/>
      <sheetName val="NL_Tests"/>
      <sheetName val="ValuesCH"/>
      <sheetName val="ValuesNon_CH"/>
      <sheetName val="ValuesRI"/>
      <sheetName val="Names"/>
    </sheetNames>
    <sheetDataSet>
      <sheetData sheetId="0"/>
      <sheetData sheetId="1"/>
      <sheetData sheetId="2"/>
      <sheetData sheetId="3">
        <row r="48">
          <cell r="C48" t="str">
            <v>Tabellenblatt</v>
          </cell>
        </row>
        <row r="49">
          <cell r="C49" t="str">
            <v>Nr.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E3F3868-3C61-4859-B88B-6E2461164C03}" name="Table1" displayName="Table1" ref="A1:T1256" totalsRowShown="0">
  <autoFilter ref="A1:T1256" xr:uid="{19E78D31-5B56-4974-9EA5-5D575B039A06}"/>
  <tableColumns count="20">
    <tableColumn id="1" xr3:uid="{3DC7E830-9714-4D89-9E1C-C124D7CC7211}" name="name"/>
    <tableColumn id="2" xr3:uid="{ABF3CDE7-8C08-484B-991F-30061815429E}" name="col"/>
    <tableColumn id="3" xr3:uid="{FAA04E16-486A-4150-99E2-25962A8E44A2}" name="type"/>
    <tableColumn id="4" xr3:uid="{B3F290D7-2091-41B8-88C5-71A598382E7E}" name="isValueRequired"/>
    <tableColumn id="5" xr3:uid="{1307B3A2-AE8C-48EB-BF3C-2583B421ED75}" name="isReplacementZero"/>
    <tableColumn id="6" xr3:uid="{F51DF11D-979D-4CB9-AACD-FF80341859B9}" name="excludeNA"/>
    <tableColumn id="7" xr3:uid="{EF27D5A9-DCF4-48FB-B08D-3458DD2B0241}" name="characteristic"/>
    <tableColumn id="8" xr3:uid="{AE8E3688-09CF-44E8-BD94-C4228B7925CA}" name="dataSelection"/>
    <tableColumn id="9" xr3:uid="{69BB24FC-4556-4B70-8ED1-DBD61D0C4616}" name="filterValue"/>
    <tableColumn id="10" xr3:uid="{AB834B50-656E-4CF2-B4F5-89975A3FD9E0}" name="Warning"/>
    <tableColumn id="11" xr3:uid="{8659BC4F-5DE9-4134-B182-128098834801}" name="Error"/>
    <tableColumn id="12" xr3:uid="{07A863B4-791F-49A7-B394-A79D15C6793D}" name="keyword"/>
    <tableColumn id="13" xr3:uid="{E38327D1-B512-4A2B-A7F8-3E076816D97A}" name="description"/>
    <tableColumn id="14" xr3:uid="{4679A43F-C60E-4505-8129-FDFB666C8CAF}" name="sheet"/>
    <tableColumn id="15" xr3:uid="{B7497437-39BA-405C-9663-B5771EBD9D12}" name="row"/>
    <tableColumn id="16" xr3:uid="{618D8D3F-F4A3-4872-8FC0-68D60A1DF1C0}" name="endRow"/>
    <tableColumn id="17" xr3:uid="{A4165335-6309-47F8-A45B-7B6811199B5B}" name="isValue"/>
    <tableColumn id="18" xr3:uid="{E43899D6-6D67-42C8-B7B6-3F7C55E6A058}" name="isEmptyAllowed"/>
    <tableColumn id="19" xr3:uid="{5FB1A803-F6A5-468D-AEFA-53BA8AD3ED76}" name="isDropEmptyRows"/>
    <tableColumn id="20" xr3:uid="{8ECC07D3-14C3-4446-97D9-35EC8F255BA6}" name="isCorrelation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98C7F-FD16-4B0C-8039-553132CAC167}">
  <sheetPr>
    <tabColor rgb="FFA2D3EE"/>
  </sheetPr>
  <dimension ref="A1:K44"/>
  <sheetViews>
    <sheetView showGridLines="0" tabSelected="1" zoomScale="90" zoomScaleNormal="90" workbookViewId="0">
      <selection activeCell="A2" sqref="A2"/>
    </sheetView>
  </sheetViews>
  <sheetFormatPr defaultColWidth="9.140625" defaultRowHeight="12.75"/>
  <cols>
    <col min="1" max="1" width="5.5703125" customWidth="1"/>
    <col min="2" max="2" width="17.5703125" customWidth="1"/>
    <col min="3" max="3" width="40.42578125" customWidth="1"/>
    <col min="4" max="4" width="24.42578125" customWidth="1"/>
    <col min="5" max="5" width="60" customWidth="1"/>
    <col min="6" max="6" width="29.5703125" customWidth="1"/>
    <col min="7" max="7" width="14.140625" customWidth="1"/>
    <col min="8" max="8" width="39.5703125" customWidth="1"/>
    <col min="9" max="9" width="2.5703125" customWidth="1"/>
  </cols>
  <sheetData>
    <row r="1" spans="1:5" ht="75" customHeight="1">
      <c r="A1" s="132">
        <v>1</v>
      </c>
      <c r="B1" s="221" t="str">
        <f>VLOOKUP("T.01.9", Translation,IF(Language="DE",2,IF(Language="FR",3,4)),FALSE)</f>
        <v>SST-Template für die Bewertung des UVG-Bestandes</v>
      </c>
      <c r="C1" s="221"/>
      <c r="D1" s="221"/>
      <c r="E1" s="38">
        <v>2025</v>
      </c>
    </row>
    <row r="3" spans="1:5" ht="20.25">
      <c r="A3" s="39"/>
      <c r="B3" s="40" t="s">
        <v>0</v>
      </c>
      <c r="C3" s="133">
        <v>45688</v>
      </c>
    </row>
    <row r="6" spans="1:5">
      <c r="B6" s="41" t="s">
        <v>1</v>
      </c>
      <c r="C6" s="41"/>
      <c r="D6" s="41"/>
      <c r="E6" s="42" t="s">
        <v>2</v>
      </c>
    </row>
    <row r="7" spans="1:5">
      <c r="B7" s="43"/>
      <c r="E7" s="44"/>
    </row>
    <row r="8" spans="1:5">
      <c r="B8" s="45" t="str">
        <f>VLOOKUP("T.01.6", Translation,IF(Language="DE",2,IF(Language="FR",3,4)),FALSE)</f>
        <v>Name der Versicherungsgesellschaft</v>
      </c>
      <c r="C8" s="45"/>
      <c r="D8" s="45"/>
      <c r="E8" s="42"/>
    </row>
    <row r="9" spans="1:5">
      <c r="E9" s="46"/>
    </row>
    <row r="10" spans="1:5">
      <c r="B10" s="41" t="str">
        <f>VLOOKUP("T.01.1", Translation,IF(Language="DE",2,IF(Language="FR",3,4)),FALSE)</f>
        <v>SST-Währung</v>
      </c>
      <c r="C10" s="45"/>
      <c r="D10" s="41"/>
      <c r="E10" s="123" t="s">
        <v>3</v>
      </c>
    </row>
    <row r="11" spans="1:5">
      <c r="B11" s="47"/>
      <c r="C11" s="47"/>
      <c r="D11" s="46"/>
    </row>
    <row r="12" spans="1:5">
      <c r="D12" s="46"/>
    </row>
    <row r="13" spans="1:5">
      <c r="D13" s="46"/>
    </row>
    <row r="16" spans="1:5">
      <c r="B16" s="48" t="str">
        <f>VLOOKUP("T.01.2", Translation,IF(Language="DE",2,IF(Language="FR",3,4)),FALSE)</f>
        <v>Bemerkungen</v>
      </c>
      <c r="C16" s="49"/>
    </row>
    <row r="17" spans="1:11">
      <c r="A17" s="46"/>
      <c r="B17" s="50" t="str">
        <f>VLOOKUP("T.01.12", Translation,IF(Language="DE",2,IF(Language="FR",3,4)),FALSE)</f>
        <v>Dieses SST-Template enthält Tabellenblätter mit verschiedenen Registerfarben. Es wird die folgende Farbenkonvention verwendet:</v>
      </c>
      <c r="C17" s="51"/>
      <c r="D17" s="51"/>
      <c r="E17" s="49"/>
      <c r="F17" s="51"/>
      <c r="G17" s="51"/>
      <c r="H17" s="51"/>
      <c r="I17" s="51"/>
      <c r="J17" s="51"/>
      <c r="K17" s="51"/>
    </row>
    <row r="18" spans="1:11">
      <c r="A18" s="46"/>
      <c r="B18" s="46"/>
      <c r="D18" s="49"/>
      <c r="E18" s="49"/>
    </row>
    <row r="19" spans="1:11" ht="20.100000000000001" customHeight="1">
      <c r="B19" s="52" t="str">
        <f>VLOOKUP("T.01.3", Translation,IF(Language="DE",2,IF(Language="FR",3,4)),FALSE)</f>
        <v>Angaben</v>
      </c>
      <c r="C19" s="50" t="str">
        <f>VLOOKUP("T.01.13", Translation,IF(Language="DE",2,IF(Language="FR",3,4)),FALSE)</f>
        <v>Tabellenblätter, die vom Versicherungsunternehmen auszufüllen sind.</v>
      </c>
    </row>
    <row r="20" spans="1:11" ht="20.100000000000001" customHeight="1">
      <c r="B20" s="53" t="str">
        <f>VLOOKUP("T.01.4", Translation,IF(Language="DE",2,IF(Language="FR",3,4)),FALSE)</f>
        <v>Parameter</v>
      </c>
      <c r="C20" s="50" t="str">
        <f>VLOOKUP("T.01.14", Translation,IF(Language="DE",2,IF(Language="FR",3,4)),FALSE)</f>
        <v xml:space="preserve">Tabellenblätter mit Informationen, Parametern oder Berechnungen. </v>
      </c>
      <c r="F20" s="35"/>
    </row>
    <row r="21" spans="1:11" ht="20.100000000000001" customHeight="1">
      <c r="B21" s="110" t="s">
        <v>4</v>
      </c>
      <c r="C21" s="50" t="str">
        <f>VLOOKUP("T.01.15", Translation,IF(Language="DE",2,IF(Language="FR",3,4)),FALSE)</f>
        <v>Tabellenblatt, der für Steuerung des Tools notwendig ist. Die Tabelle ist nicht zu ändern.</v>
      </c>
    </row>
    <row r="22" spans="1:11" ht="20.100000000000001" customHeight="1">
      <c r="C22" s="50"/>
    </row>
    <row r="23" spans="1:11" s="46" customFormat="1" ht="20.100000000000001" customHeight="1">
      <c r="B23" s="54" t="str">
        <f>VLOOKUP("T.01.5", Translation,IF(Language="DE",2,IF(Language="FR",3,4)),FALSE)</f>
        <v>Eingabe</v>
      </c>
      <c r="C23" s="50" t="str">
        <f>VLOOKUP("T.01.16", Translation,IF(Language="DE",2,IF(Language="FR",3,4)),FALSE)</f>
        <v>Eingabefelder: In diesen Feldern werden versicherungsspezifische Angaben erwartet.</v>
      </c>
    </row>
    <row r="26" spans="1:11">
      <c r="B26" s="55"/>
    </row>
    <row r="44" spans="5:5">
      <c r="E44" s="56"/>
    </row>
  </sheetData>
  <mergeCells count="1">
    <mergeCell ref="B1:D1"/>
  </mergeCells>
  <dataValidations count="1">
    <dataValidation type="list" allowBlank="1" showInputMessage="1" showErrorMessage="1" sqref="E6 C13" xr:uid="{7EEE8C1A-389C-4F59-8C68-57743026F514}">
      <formula1>"DE, FR, EN"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92DF5-ECBB-4338-9CC4-7BE27FF2E87A}">
  <sheetPr>
    <tabColor rgb="FF00539E"/>
  </sheetPr>
  <dimension ref="A1:F11"/>
  <sheetViews>
    <sheetView showGridLines="0" zoomScale="90" zoomScaleNormal="90" workbookViewId="0">
      <selection activeCell="A2" sqref="A2"/>
    </sheetView>
  </sheetViews>
  <sheetFormatPr defaultColWidth="9.140625" defaultRowHeight="12.75"/>
  <cols>
    <col min="1" max="1" width="5.5703125" customWidth="1"/>
    <col min="2" max="2" width="26" customWidth="1"/>
    <col min="3" max="3" width="22.42578125" customWidth="1"/>
    <col min="4" max="4" width="32.85546875" customWidth="1"/>
    <col min="5" max="5" width="33" customWidth="1"/>
    <col min="6" max="6" width="118.7109375" customWidth="1"/>
  </cols>
  <sheetData>
    <row r="1" spans="1:6" s="3" customFormat="1" ht="20.100000000000001" customHeight="1">
      <c r="A1" s="134">
        <v>2</v>
      </c>
      <c r="B1" s="2" t="str">
        <f>VLOOKUP("T.05.01", Translation,IF(Language="DE",2,IF(Language="FR",3,4)),FALSE)</f>
        <v>Aktualisierungsliste</v>
      </c>
    </row>
    <row r="4" spans="1:6">
      <c r="B4" s="235" t="s">
        <v>700</v>
      </c>
      <c r="C4" s="236" t="str">
        <f>VLOOKUP("T.05.02",Translation,IF(Language="DE",2,IF(Language="FR",3,4)),FALSE)</f>
        <v>Datum</v>
      </c>
      <c r="D4" s="236" t="str">
        <f>VLOOKUP("T.05.05",Translation,IF(Language="DE",2,IF(Language="FR",3,4)),FALSE)</f>
        <v>Tabellenblatt</v>
      </c>
      <c r="E4" s="236" t="str">
        <f>VLOOKUP("T.05.03",Translation,IF(Language="DE",2,IF(Language="FR",3,4)),FALSE)</f>
        <v>Zelle/Bereich</v>
      </c>
      <c r="F4" s="236" t="str">
        <f>VLOOKUP("T.05.04",Translation,IF(Language="DE",2,IF(Language="FR",3,4)),FALSE)</f>
        <v>Bemerkung</v>
      </c>
    </row>
    <row r="5" spans="1:6">
      <c r="B5" s="237">
        <v>1</v>
      </c>
      <c r="C5" s="238">
        <v>45688</v>
      </c>
      <c r="D5" s="237" t="s">
        <v>55</v>
      </c>
      <c r="E5" s="237" t="s">
        <v>705</v>
      </c>
      <c r="F5" s="239" t="s">
        <v>706</v>
      </c>
    </row>
    <row r="6" spans="1:6">
      <c r="B6" s="237"/>
      <c r="C6" s="237"/>
      <c r="D6" s="237"/>
      <c r="E6" s="237"/>
      <c r="F6" s="237"/>
    </row>
    <row r="7" spans="1:6">
      <c r="B7" s="237"/>
      <c r="C7" s="237"/>
      <c r="D7" s="237"/>
      <c r="E7" s="237"/>
      <c r="F7" s="237"/>
    </row>
    <row r="8" spans="1:6">
      <c r="B8" s="237"/>
      <c r="C8" s="237"/>
      <c r="D8" s="237"/>
      <c r="E8" s="237"/>
      <c r="F8" s="237"/>
    </row>
    <row r="9" spans="1:6">
      <c r="B9" s="237"/>
      <c r="C9" s="237"/>
      <c r="D9" s="237"/>
      <c r="E9" s="237"/>
      <c r="F9" s="237"/>
    </row>
    <row r="10" spans="1:6">
      <c r="B10" s="237"/>
      <c r="C10" s="237"/>
      <c r="D10" s="237"/>
      <c r="E10" s="237"/>
      <c r="F10" s="237"/>
    </row>
    <row r="11" spans="1:6">
      <c r="B11" s="237"/>
      <c r="C11" s="237"/>
      <c r="D11" s="237"/>
      <c r="E11" s="237"/>
      <c r="F11" s="23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6A795-27A2-4200-A0F2-4D7A72BDACED}">
  <sheetPr>
    <tabColor rgb="FF00539E"/>
  </sheetPr>
  <dimension ref="A1:BA51"/>
  <sheetViews>
    <sheetView showGridLines="0" zoomScale="90" zoomScaleNormal="90" workbookViewId="0">
      <selection activeCell="A2" sqref="A2"/>
    </sheetView>
  </sheetViews>
  <sheetFormatPr defaultColWidth="9.140625" defaultRowHeight="12.75"/>
  <cols>
    <col min="1" max="1" width="5.5703125" customWidth="1"/>
    <col min="2" max="2" width="58.28515625" customWidth="1"/>
    <col min="3" max="3" width="17.85546875" customWidth="1"/>
    <col min="4" max="5" width="10.140625" bestFit="1" customWidth="1"/>
  </cols>
  <sheetData>
    <row r="1" spans="1:53" s="3" customFormat="1" ht="20.100000000000001" customHeight="1">
      <c r="A1" s="134">
        <v>3</v>
      </c>
      <c r="B1" s="2" t="str">
        <f>VLOOKUP("T.02.1", Translation,IF(Language="DE",2,IF(Language="FR",3,4)),FALSE)</f>
        <v>Finanzvariablen und SST-Parameter</v>
      </c>
    </row>
    <row r="4" spans="1:53" s="57" customFormat="1">
      <c r="B4" s="58" t="str">
        <f>VLOOKUP("T.02.2", Translation,IF(Language="DE",2,IF(Language="FR",3,4)),FALSE)</f>
        <v>Risikolose Zinskurve r(t) per 31.12.2024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</row>
    <row r="5" spans="1:53" s="57" customFormat="1" ht="8.1" customHeight="1"/>
    <row r="6" spans="1:53" s="59" customFormat="1">
      <c r="B6" s="60" t="str" cm="1">
        <f t="array" ref="B6">_maturity</f>
        <v>Fälligkeit (in Jahren)</v>
      </c>
      <c r="C6" s="61">
        <v>1</v>
      </c>
      <c r="D6" s="8">
        <v>2</v>
      </c>
      <c r="E6" s="8">
        <v>3</v>
      </c>
      <c r="F6" s="8">
        <v>4</v>
      </c>
      <c r="G6" s="8">
        <v>5</v>
      </c>
      <c r="H6" s="8">
        <v>6</v>
      </c>
      <c r="I6" s="8">
        <v>7</v>
      </c>
      <c r="J6" s="8">
        <v>8</v>
      </c>
      <c r="K6" s="8">
        <v>9</v>
      </c>
      <c r="L6" s="8">
        <v>10</v>
      </c>
      <c r="M6" s="8">
        <v>11</v>
      </c>
      <c r="N6" s="8">
        <v>12</v>
      </c>
      <c r="O6" s="8">
        <v>13</v>
      </c>
      <c r="P6" s="8">
        <v>14</v>
      </c>
      <c r="Q6" s="8">
        <v>15</v>
      </c>
      <c r="R6" s="8">
        <v>16</v>
      </c>
      <c r="S6" s="8">
        <v>17</v>
      </c>
      <c r="T6" s="8">
        <v>18</v>
      </c>
      <c r="U6" s="8">
        <v>19</v>
      </c>
      <c r="V6" s="8">
        <v>20</v>
      </c>
      <c r="W6" s="8">
        <v>21</v>
      </c>
      <c r="X6" s="8">
        <v>22</v>
      </c>
      <c r="Y6" s="8">
        <v>23</v>
      </c>
      <c r="Z6" s="8">
        <v>24</v>
      </c>
      <c r="AA6" s="8">
        <v>25</v>
      </c>
      <c r="AB6" s="8">
        <v>26</v>
      </c>
      <c r="AC6" s="8">
        <v>27</v>
      </c>
      <c r="AD6" s="8">
        <v>28</v>
      </c>
      <c r="AE6" s="8">
        <v>29</v>
      </c>
      <c r="AF6" s="8">
        <v>30</v>
      </c>
      <c r="AG6" s="8">
        <v>31</v>
      </c>
      <c r="AH6" s="8">
        <v>32</v>
      </c>
      <c r="AI6" s="8">
        <v>33</v>
      </c>
      <c r="AJ6" s="8">
        <v>34</v>
      </c>
      <c r="AK6" s="8">
        <v>35</v>
      </c>
      <c r="AL6" s="8">
        <v>36</v>
      </c>
      <c r="AM6" s="8">
        <v>37</v>
      </c>
      <c r="AN6" s="8">
        <v>38</v>
      </c>
      <c r="AO6" s="8">
        <v>39</v>
      </c>
      <c r="AP6" s="8">
        <v>40</v>
      </c>
      <c r="AQ6" s="8">
        <v>41</v>
      </c>
      <c r="AR6" s="8">
        <v>42</v>
      </c>
      <c r="AS6" s="8">
        <v>43</v>
      </c>
      <c r="AT6" s="8">
        <v>44</v>
      </c>
      <c r="AU6" s="8">
        <v>45</v>
      </c>
      <c r="AV6" s="8">
        <v>46</v>
      </c>
      <c r="AW6" s="8">
        <v>47</v>
      </c>
      <c r="AX6" s="8">
        <v>48</v>
      </c>
      <c r="AY6" s="8">
        <v>49</v>
      </c>
      <c r="AZ6" s="8">
        <v>50</v>
      </c>
      <c r="BA6" s="57"/>
    </row>
    <row r="7" spans="1:53" s="57" customFormat="1">
      <c r="B7" s="112" t="s">
        <v>3</v>
      </c>
      <c r="C7" s="168">
        <v>9.1420006628673001E-4</v>
      </c>
      <c r="D7" s="169">
        <v>4.0545125003177418E-5</v>
      </c>
      <c r="E7" s="169">
        <v>2.5688580647931225E-4</v>
      </c>
      <c r="F7" s="169">
        <v>7.1238121760042183E-4</v>
      </c>
      <c r="G7" s="117">
        <v>1.2102185850064728E-3</v>
      </c>
      <c r="H7" s="117">
        <v>1.6900319963351063E-3</v>
      </c>
      <c r="I7" s="117">
        <v>2.130446566205757E-3</v>
      </c>
      <c r="J7" s="117">
        <v>2.5242676210057713E-3</v>
      </c>
      <c r="K7" s="117">
        <v>2.8702449550792597E-3</v>
      </c>
      <c r="L7" s="117">
        <v>3.1698122566639064E-3</v>
      </c>
      <c r="M7" s="117">
        <v>3.4106051021147721E-3</v>
      </c>
      <c r="N7" s="117">
        <v>3.6073302415180475E-3</v>
      </c>
      <c r="O7" s="117">
        <v>3.7765677721910418E-3</v>
      </c>
      <c r="P7" s="117">
        <v>3.9301092012267169E-3</v>
      </c>
      <c r="Q7" s="117">
        <v>4.0766116217987314E-3</v>
      </c>
      <c r="R7" s="117">
        <v>4.2214444521131433E-3</v>
      </c>
      <c r="S7" s="117">
        <v>4.3643573557035076E-3</v>
      </c>
      <c r="T7" s="117">
        <v>4.504254371872296E-3</v>
      </c>
      <c r="U7" s="117">
        <v>4.6404082764701649E-3</v>
      </c>
      <c r="V7" s="117">
        <v>4.7723540291886302E-3</v>
      </c>
      <c r="W7" s="117">
        <v>4.8998143201393063E-3</v>
      </c>
      <c r="X7" s="117">
        <v>5.0226467835305932E-3</v>
      </c>
      <c r="Y7" s="117">
        <v>5.1408061087023782E-3</v>
      </c>
      <c r="Z7" s="117">
        <v>5.2543165616536491E-3</v>
      </c>
      <c r="AA7" s="117">
        <v>5.3632518866413292E-3</v>
      </c>
      <c r="AB7" s="117">
        <v>5.4677205062152456E-3</v>
      </c>
      <c r="AC7" s="117">
        <v>5.567854567914754E-3</v>
      </c>
      <c r="AD7" s="117">
        <v>5.663801811167879E-3</v>
      </c>
      <c r="AE7" s="117">
        <v>5.7557195196213939E-3</v>
      </c>
      <c r="AF7" s="117">
        <v>5.8437700270335124E-3</v>
      </c>
      <c r="AG7" s="117">
        <v>5.9281173878198423E-3</v>
      </c>
      <c r="AH7" s="117">
        <v>6.008924925281045E-3</v>
      </c>
      <c r="AI7" s="117">
        <v>6.0863534440147582E-3</v>
      </c>
      <c r="AJ7" s="117">
        <v>6.1605599464953364E-3</v>
      </c>
      <c r="AK7" s="117">
        <v>6.2316967331097484E-3</v>
      </c>
      <c r="AL7" s="117">
        <v>6.2999107940411303E-3</v>
      </c>
      <c r="AM7" s="117">
        <v>6.3653434231369932E-3</v>
      </c>
      <c r="AN7" s="117">
        <v>6.4281300002382302E-3</v>
      </c>
      <c r="AO7" s="117">
        <v>6.4883999008129578E-3</v>
      </c>
      <c r="AP7" s="117">
        <v>6.5462765011627955E-3</v>
      </c>
      <c r="AQ7" s="117">
        <v>6.6018772546705407E-3</v>
      </c>
      <c r="AR7" s="117">
        <v>6.6553138201039808E-3</v>
      </c>
      <c r="AS7" s="117">
        <v>6.7066922272747131E-3</v>
      </c>
      <c r="AT7" s="117">
        <v>6.7561130686695225E-3</v>
      </c>
      <c r="AU7" s="117">
        <v>6.8036717082569087E-3</v>
      </c>
      <c r="AV7" s="117">
        <v>6.849458500687966E-3</v>
      </c>
      <c r="AW7" s="117">
        <v>6.8935590156873339E-3</v>
      </c>
      <c r="AX7" s="117">
        <v>6.9360542636642819E-3</v>
      </c>
      <c r="AY7" s="117">
        <v>6.9770209195467725E-3</v>
      </c>
      <c r="AZ7" s="117">
        <v>7.0165315425989583E-3</v>
      </c>
    </row>
    <row r="8" spans="1:53" s="57" customFormat="1"/>
    <row r="9" spans="1:53" s="57" customFormat="1">
      <c r="B9" s="58" t="str">
        <f>VLOOKUP("T.02.3", Translation,IF(Language="DE",2,IF(Language="FR",3,4)),FALSE)</f>
        <v>Diskontfaktoren auf Basis der risikolosen Zinskurve r(t); Diskontfunktion n(t) = (1+r(t))^(-t)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</row>
    <row r="10" spans="1:53" s="57" customFormat="1"/>
    <row r="11" spans="1:53" s="59" customFormat="1">
      <c r="B11" s="60" t="str">
        <f>_maturity</f>
        <v>Fälligkeit (in Jahren)</v>
      </c>
      <c r="C11" s="61">
        <v>1</v>
      </c>
      <c r="D11" s="8">
        <f t="shared" ref="D11:AZ11" si="0">1+C11</f>
        <v>2</v>
      </c>
      <c r="E11" s="8">
        <f t="shared" si="0"/>
        <v>3</v>
      </c>
      <c r="F11" s="8">
        <f t="shared" si="0"/>
        <v>4</v>
      </c>
      <c r="G11" s="8">
        <f t="shared" si="0"/>
        <v>5</v>
      </c>
      <c r="H11" s="8">
        <f t="shared" si="0"/>
        <v>6</v>
      </c>
      <c r="I11" s="8">
        <f t="shared" si="0"/>
        <v>7</v>
      </c>
      <c r="J11" s="8">
        <f t="shared" si="0"/>
        <v>8</v>
      </c>
      <c r="K11" s="8">
        <f t="shared" si="0"/>
        <v>9</v>
      </c>
      <c r="L11" s="8">
        <f t="shared" si="0"/>
        <v>10</v>
      </c>
      <c r="M11" s="8">
        <f t="shared" si="0"/>
        <v>11</v>
      </c>
      <c r="N11" s="8">
        <f t="shared" si="0"/>
        <v>12</v>
      </c>
      <c r="O11" s="8">
        <f t="shared" si="0"/>
        <v>13</v>
      </c>
      <c r="P11" s="8">
        <f t="shared" si="0"/>
        <v>14</v>
      </c>
      <c r="Q11" s="8">
        <f t="shared" si="0"/>
        <v>15</v>
      </c>
      <c r="R11" s="8">
        <f t="shared" si="0"/>
        <v>16</v>
      </c>
      <c r="S11" s="8">
        <f t="shared" si="0"/>
        <v>17</v>
      </c>
      <c r="T11" s="8">
        <f t="shared" si="0"/>
        <v>18</v>
      </c>
      <c r="U11" s="8">
        <f t="shared" si="0"/>
        <v>19</v>
      </c>
      <c r="V11" s="8">
        <f t="shared" si="0"/>
        <v>20</v>
      </c>
      <c r="W11" s="8">
        <f t="shared" si="0"/>
        <v>21</v>
      </c>
      <c r="X11" s="8">
        <f t="shared" si="0"/>
        <v>22</v>
      </c>
      <c r="Y11" s="8">
        <f t="shared" si="0"/>
        <v>23</v>
      </c>
      <c r="Z11" s="8">
        <f t="shared" si="0"/>
        <v>24</v>
      </c>
      <c r="AA11" s="8">
        <f t="shared" si="0"/>
        <v>25</v>
      </c>
      <c r="AB11" s="8">
        <f t="shared" si="0"/>
        <v>26</v>
      </c>
      <c r="AC11" s="8">
        <f t="shared" si="0"/>
        <v>27</v>
      </c>
      <c r="AD11" s="8">
        <f t="shared" si="0"/>
        <v>28</v>
      </c>
      <c r="AE11" s="8">
        <f t="shared" si="0"/>
        <v>29</v>
      </c>
      <c r="AF11" s="8">
        <f t="shared" si="0"/>
        <v>30</v>
      </c>
      <c r="AG11" s="8">
        <f t="shared" si="0"/>
        <v>31</v>
      </c>
      <c r="AH11" s="8">
        <f t="shared" si="0"/>
        <v>32</v>
      </c>
      <c r="AI11" s="8">
        <f t="shared" si="0"/>
        <v>33</v>
      </c>
      <c r="AJ11" s="8">
        <f t="shared" si="0"/>
        <v>34</v>
      </c>
      <c r="AK11" s="8">
        <f t="shared" si="0"/>
        <v>35</v>
      </c>
      <c r="AL11" s="8">
        <f t="shared" si="0"/>
        <v>36</v>
      </c>
      <c r="AM11" s="8">
        <f t="shared" si="0"/>
        <v>37</v>
      </c>
      <c r="AN11" s="8">
        <f t="shared" si="0"/>
        <v>38</v>
      </c>
      <c r="AO11" s="8">
        <f t="shared" si="0"/>
        <v>39</v>
      </c>
      <c r="AP11" s="8">
        <f t="shared" si="0"/>
        <v>40</v>
      </c>
      <c r="AQ11" s="8">
        <f t="shared" si="0"/>
        <v>41</v>
      </c>
      <c r="AR11" s="8">
        <f t="shared" si="0"/>
        <v>42</v>
      </c>
      <c r="AS11" s="8">
        <f t="shared" si="0"/>
        <v>43</v>
      </c>
      <c r="AT11" s="8">
        <f t="shared" si="0"/>
        <v>44</v>
      </c>
      <c r="AU11" s="8">
        <f t="shared" si="0"/>
        <v>45</v>
      </c>
      <c r="AV11" s="8">
        <f t="shared" si="0"/>
        <v>46</v>
      </c>
      <c r="AW11" s="8">
        <f t="shared" si="0"/>
        <v>47</v>
      </c>
      <c r="AX11" s="8">
        <f t="shared" si="0"/>
        <v>48</v>
      </c>
      <c r="AY11" s="8">
        <f t="shared" si="0"/>
        <v>49</v>
      </c>
      <c r="AZ11" s="8">
        <f t="shared" si="0"/>
        <v>50</v>
      </c>
      <c r="BA11" s="57"/>
    </row>
    <row r="12" spans="1:53" s="57" customFormat="1">
      <c r="B12" s="60" t="s">
        <v>3</v>
      </c>
      <c r="C12" s="114">
        <f>(1+C7)^(-C$11)</f>
        <v>0.99908663493211891</v>
      </c>
      <c r="D12" s="115">
        <f t="shared" ref="D12:AH12" si="1">(1+D7)^(-D$11)</f>
        <v>0.99991891468144845</v>
      </c>
      <c r="E12" s="115">
        <f t="shared" si="1"/>
        <v>0.99922973835301299</v>
      </c>
      <c r="F12" s="115">
        <f t="shared" si="1"/>
        <v>0.99715554277811003</v>
      </c>
      <c r="G12" s="115">
        <f t="shared" si="1"/>
        <v>0.99397081462190939</v>
      </c>
      <c r="H12" s="115">
        <f t="shared" si="1"/>
        <v>0.98991951910088871</v>
      </c>
      <c r="I12" s="115">
        <f t="shared" si="1"/>
        <v>0.98521315256170905</v>
      </c>
      <c r="J12" s="115">
        <f t="shared" si="1"/>
        <v>0.98003333158862449</v>
      </c>
      <c r="K12" s="115">
        <f t="shared" si="1"/>
        <v>0.97453465094250991</v>
      </c>
      <c r="L12" s="115">
        <f t="shared" si="1"/>
        <v>0.96884756615968104</v>
      </c>
      <c r="M12" s="115">
        <f t="shared" si="1"/>
        <v>0.9632398584812204</v>
      </c>
      <c r="N12" s="115">
        <f t="shared" si="1"/>
        <v>0.9577101797207217</v>
      </c>
      <c r="O12" s="115">
        <f t="shared" si="1"/>
        <v>0.952178360979276</v>
      </c>
      <c r="P12" s="115">
        <f t="shared" si="1"/>
        <v>0.94656684170382122</v>
      </c>
      <c r="Q12" s="115">
        <f t="shared" si="1"/>
        <v>0.94079984055255106</v>
      </c>
      <c r="R12" s="115">
        <f t="shared" si="1"/>
        <v>0.93482031330906956</v>
      </c>
      <c r="S12" s="115">
        <f t="shared" si="1"/>
        <v>0.92864138262637042</v>
      </c>
      <c r="T12" s="115">
        <f t="shared" si="1"/>
        <v>0.92229095998916422</v>
      </c>
      <c r="U12" s="115">
        <f t="shared" si="1"/>
        <v>0.91579400889776597</v>
      </c>
      <c r="V12" s="115">
        <f t="shared" si="1"/>
        <v>0.90917284989273572</v>
      </c>
      <c r="W12" s="115">
        <f t="shared" si="1"/>
        <v>0.90244743407453587</v>
      </c>
      <c r="X12" s="115">
        <f t="shared" si="1"/>
        <v>0.89563558837165724</v>
      </c>
      <c r="Y12" s="115">
        <f t="shared" si="1"/>
        <v>0.88875323547488194</v>
      </c>
      <c r="Z12" s="115">
        <f t="shared" si="1"/>
        <v>0.88181459105389404</v>
      </c>
      <c r="AA12" s="115">
        <f t="shared" si="1"/>
        <v>0.87483234060230497</v>
      </c>
      <c r="AB12" s="115">
        <f t="shared" si="1"/>
        <v>0.86781779801496683</v>
      </c>
      <c r="AC12" s="115">
        <f t="shared" si="1"/>
        <v>0.86078104778408959</v>
      </c>
      <c r="AD12" s="115">
        <f t="shared" si="1"/>
        <v>0.85373107250584801</v>
      </c>
      <c r="AE12" s="115">
        <f t="shared" si="1"/>
        <v>0.84667586721456878</v>
      </c>
      <c r="AF12" s="115">
        <f t="shared" si="1"/>
        <v>0.83962254190479568</v>
      </c>
      <c r="AG12" s="115">
        <f t="shared" si="1"/>
        <v>0.83257741346114755</v>
      </c>
      <c r="AH12" s="115">
        <f t="shared" si="1"/>
        <v>0.82554608808986318</v>
      </c>
      <c r="AI12" s="115">
        <f t="shared" ref="AI12:AZ12" si="2">(1+AI7)^(-AI$11)</f>
        <v>0.81853353523288996</v>
      </c>
      <c r="AJ12" s="115">
        <f t="shared" si="2"/>
        <v>0.81154415384431522</v>
      </c>
      <c r="AK12" s="115">
        <f t="shared" si="2"/>
        <v>0.80458183181769016</v>
      </c>
      <c r="AL12" s="115">
        <f t="shared" si="2"/>
        <v>0.79764999927184632</v>
      </c>
      <c r="AM12" s="115">
        <f t="shared" si="2"/>
        <v>0.79075167632925702</v>
      </c>
      <c r="AN12" s="115">
        <f t="shared" si="2"/>
        <v>0.78388951595585654</v>
      </c>
      <c r="AO12" s="115">
        <f t="shared" si="2"/>
        <v>0.77706584237236898</v>
      </c>
      <c r="AP12" s="115">
        <f t="shared" si="2"/>
        <v>0.77028268549441903</v>
      </c>
      <c r="AQ12" s="115">
        <f t="shared" si="2"/>
        <v>0.76354181181168057</v>
      </c>
      <c r="AR12" s="115">
        <f t="shared" si="2"/>
        <v>0.75684475207375235</v>
      </c>
      <c r="AS12" s="115">
        <f t="shared" si="2"/>
        <v>0.7501928261126326</v>
      </c>
      <c r="AT12" s="115">
        <f t="shared" si="2"/>
        <v>0.74358716509749112</v>
      </c>
      <c r="AU12" s="115">
        <f t="shared" si="2"/>
        <v>0.73702873148697468</v>
      </c>
      <c r="AV12" s="115">
        <f t="shared" si="2"/>
        <v>0.73051833691682944</v>
      </c>
      <c r="AW12" s="115">
        <f t="shared" si="2"/>
        <v>0.724056658236094</v>
      </c>
      <c r="AX12" s="115">
        <f t="shared" si="2"/>
        <v>0.71764425188317849</v>
      </c>
      <c r="AY12" s="115">
        <f t="shared" si="2"/>
        <v>0.71128156677315779</v>
      </c>
      <c r="AZ12" s="115">
        <f t="shared" si="2"/>
        <v>0.70496895585018027</v>
      </c>
    </row>
    <row r="13" spans="1:53" s="57" customFormat="1"/>
    <row r="14" spans="1:53" s="27" customFormat="1">
      <c r="A14" s="57"/>
      <c r="B14" s="58" t="str">
        <f>VLOOKUP("T.02.4", Translation,IF(Language="DE",2,IF(Language="FR",3,4)),FALSE)</f>
        <v>Historische Rendite Bundesobligationen Eidgenossenschaft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62"/>
      <c r="T14" s="62"/>
      <c r="U14" s="62"/>
      <c r="X14" s="63"/>
      <c r="Y14" s="64"/>
    </row>
    <row r="15" spans="1:53" s="57" customFormat="1"/>
    <row r="16" spans="1:53" s="57" customFormat="1">
      <c r="B16" s="60" t="str">
        <f>VLOOKUP("T.02.19", Translation,IF(Language="DE",2,IF(Language="FR",3,4)),FALSE)</f>
        <v>Jahr</v>
      </c>
      <c r="C16" s="65">
        <f>Intro_SM_UVG_Valuation!E1 - 10</f>
        <v>2015</v>
      </c>
      <c r="D16" s="66">
        <f>C16+1</f>
        <v>2016</v>
      </c>
      <c r="E16" s="66">
        <f t="shared" ref="E16" si="3">D16+1</f>
        <v>2017</v>
      </c>
      <c r="F16" s="66">
        <f t="shared" ref="F16" si="4">E16+1</f>
        <v>2018</v>
      </c>
      <c r="G16" s="66">
        <f t="shared" ref="G16" si="5">F16+1</f>
        <v>2019</v>
      </c>
      <c r="H16" s="66">
        <f t="shared" ref="H16" si="6">G16+1</f>
        <v>2020</v>
      </c>
      <c r="I16" s="66">
        <f t="shared" ref="I16" si="7">H16+1</f>
        <v>2021</v>
      </c>
      <c r="J16" s="66">
        <f t="shared" ref="J16" si="8">I16+1</f>
        <v>2022</v>
      </c>
      <c r="K16" s="66">
        <f t="shared" ref="K16" si="9">J16+1</f>
        <v>2023</v>
      </c>
      <c r="L16" s="66">
        <f t="shared" ref="L16" si="10">K16+1</f>
        <v>2024</v>
      </c>
    </row>
    <row r="17" spans="1:53" s="57" customFormat="1">
      <c r="B17" s="113" t="str">
        <f>VLOOKUP("T.02.5", Translation,IF(Language="DE",2,IF(Language="FR",3,4)),FALSE)</f>
        <v>Kassazinssatz bei einer Laufzeit von 10 Jahre</v>
      </c>
      <c r="C17" s="167">
        <v>-6.9999999999999999E-4</v>
      </c>
      <c r="D17" s="167">
        <v>-3.4883835856338321E-3</v>
      </c>
      <c r="E17" s="167">
        <v>-7.9207171314741036E-4</v>
      </c>
      <c r="F17" s="116">
        <v>4.3741379310344793E-4</v>
      </c>
      <c r="G17" s="116">
        <v>-4.719919678714859E-3</v>
      </c>
      <c r="H17" s="116">
        <v>-5.0178571428571416E-3</v>
      </c>
      <c r="I17" s="116">
        <v>-2.5981889763779533E-3</v>
      </c>
      <c r="J17" s="116">
        <v>7.8316153846153865E-3</v>
      </c>
      <c r="K17" s="116">
        <v>1.0522538461538455E-2</v>
      </c>
      <c r="L17" s="116">
        <v>5.8831679389312972E-3</v>
      </c>
    </row>
    <row r="18" spans="1:53" s="57" customFormat="1"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</row>
    <row r="19" spans="1:53" s="27" customFormat="1">
      <c r="A19" s="57"/>
      <c r="B19" s="58" t="str">
        <f>VLOOKUP("T.02.6", Translation,IF(Language="DE",2,IF(Language="FR",3,4)),FALSE)</f>
        <v>Durchschnitt der 10-jährigen Renditen Bundesobligationen der letzten 10 Jahre per 31.12.2024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62"/>
      <c r="T19" s="62"/>
      <c r="U19" s="62"/>
      <c r="X19" s="63"/>
      <c r="Y19" s="64"/>
    </row>
    <row r="20" spans="1:53" s="57" customFormat="1"/>
    <row r="21" spans="1:53" s="27" customFormat="1" ht="12.75" customHeight="1">
      <c r="A21" s="57"/>
      <c r="B21" s="60" t="str">
        <f>_maturity</f>
        <v>Fälligkeit (in Jahren)</v>
      </c>
      <c r="C21" s="65">
        <v>1</v>
      </c>
      <c r="D21" s="66">
        <f>C21+1</f>
        <v>2</v>
      </c>
      <c r="E21" s="66">
        <f t="shared" ref="E21:AZ21" si="11">D21+1</f>
        <v>3</v>
      </c>
      <c r="F21" s="66">
        <f t="shared" si="11"/>
        <v>4</v>
      </c>
      <c r="G21" s="66">
        <f t="shared" si="11"/>
        <v>5</v>
      </c>
      <c r="H21" s="66">
        <f t="shared" si="11"/>
        <v>6</v>
      </c>
      <c r="I21" s="66">
        <f t="shared" si="11"/>
        <v>7</v>
      </c>
      <c r="J21" s="66">
        <f t="shared" si="11"/>
        <v>8</v>
      </c>
      <c r="K21" s="66">
        <f t="shared" si="11"/>
        <v>9</v>
      </c>
      <c r="L21" s="66">
        <f t="shared" si="11"/>
        <v>10</v>
      </c>
      <c r="M21" s="66">
        <f t="shared" si="11"/>
        <v>11</v>
      </c>
      <c r="N21" s="66">
        <f t="shared" si="11"/>
        <v>12</v>
      </c>
      <c r="O21" s="66">
        <f t="shared" si="11"/>
        <v>13</v>
      </c>
      <c r="P21" s="66">
        <f t="shared" si="11"/>
        <v>14</v>
      </c>
      <c r="Q21" s="66">
        <f t="shared" si="11"/>
        <v>15</v>
      </c>
      <c r="R21" s="66">
        <f t="shared" si="11"/>
        <v>16</v>
      </c>
      <c r="S21" s="66">
        <f t="shared" si="11"/>
        <v>17</v>
      </c>
      <c r="T21" s="66">
        <f t="shared" si="11"/>
        <v>18</v>
      </c>
      <c r="U21" s="66">
        <f t="shared" si="11"/>
        <v>19</v>
      </c>
      <c r="V21" s="66">
        <f t="shared" si="11"/>
        <v>20</v>
      </c>
      <c r="W21" s="66">
        <f t="shared" si="11"/>
        <v>21</v>
      </c>
      <c r="X21" s="66">
        <f t="shared" si="11"/>
        <v>22</v>
      </c>
      <c r="Y21" s="66">
        <f t="shared" si="11"/>
        <v>23</v>
      </c>
      <c r="Z21" s="66">
        <f t="shared" si="11"/>
        <v>24</v>
      </c>
      <c r="AA21" s="66">
        <f t="shared" si="11"/>
        <v>25</v>
      </c>
      <c r="AB21" s="66">
        <f t="shared" si="11"/>
        <v>26</v>
      </c>
      <c r="AC21" s="66">
        <f t="shared" si="11"/>
        <v>27</v>
      </c>
      <c r="AD21" s="66">
        <f t="shared" si="11"/>
        <v>28</v>
      </c>
      <c r="AE21" s="66">
        <f t="shared" si="11"/>
        <v>29</v>
      </c>
      <c r="AF21" s="66">
        <f t="shared" si="11"/>
        <v>30</v>
      </c>
      <c r="AG21" s="66">
        <f t="shared" si="11"/>
        <v>31</v>
      </c>
      <c r="AH21" s="66">
        <f t="shared" si="11"/>
        <v>32</v>
      </c>
      <c r="AI21" s="66">
        <f t="shared" si="11"/>
        <v>33</v>
      </c>
      <c r="AJ21" s="66">
        <f t="shared" si="11"/>
        <v>34</v>
      </c>
      <c r="AK21" s="66">
        <f t="shared" si="11"/>
        <v>35</v>
      </c>
      <c r="AL21" s="66">
        <f t="shared" si="11"/>
        <v>36</v>
      </c>
      <c r="AM21" s="66">
        <f t="shared" si="11"/>
        <v>37</v>
      </c>
      <c r="AN21" s="66">
        <f t="shared" si="11"/>
        <v>38</v>
      </c>
      <c r="AO21" s="66">
        <f t="shared" si="11"/>
        <v>39</v>
      </c>
      <c r="AP21" s="66">
        <f t="shared" si="11"/>
        <v>40</v>
      </c>
      <c r="AQ21" s="66">
        <f t="shared" si="11"/>
        <v>41</v>
      </c>
      <c r="AR21" s="66">
        <f t="shared" si="11"/>
        <v>42</v>
      </c>
      <c r="AS21" s="66">
        <f t="shared" si="11"/>
        <v>43</v>
      </c>
      <c r="AT21" s="66">
        <f t="shared" si="11"/>
        <v>44</v>
      </c>
      <c r="AU21" s="66">
        <f t="shared" si="11"/>
        <v>45</v>
      </c>
      <c r="AV21" s="66">
        <f t="shared" si="11"/>
        <v>46</v>
      </c>
      <c r="AW21" s="66">
        <f t="shared" si="11"/>
        <v>47</v>
      </c>
      <c r="AX21" s="66">
        <f t="shared" si="11"/>
        <v>48</v>
      </c>
      <c r="AY21" s="66">
        <f t="shared" si="11"/>
        <v>49</v>
      </c>
      <c r="AZ21" s="66">
        <f t="shared" si="11"/>
        <v>50</v>
      </c>
    </row>
    <row r="22" spans="1:53" s="27" customFormat="1" ht="16.5" customHeight="1">
      <c r="A22" s="57"/>
      <c r="B22" s="113" t="str">
        <f>VLOOKUP("T.02.7", Translation,IF(Language="DE",2,IF(Language="FR",3,4)),FALSE)</f>
        <v>phi 10/10-Zinsen</v>
      </c>
      <c r="C22" s="166">
        <v>7.3583144814573888E-4</v>
      </c>
      <c r="D22" s="166">
        <v>1.1228126738121295E-3</v>
      </c>
      <c r="E22" s="166">
        <v>1.8377098122551428E-3</v>
      </c>
      <c r="F22" s="166">
        <v>2.3491382223748808E-3</v>
      </c>
      <c r="G22" s="166">
        <v>2.788885388364473E-3</v>
      </c>
      <c r="H22" s="166">
        <v>3.78288690891916E-3</v>
      </c>
      <c r="I22" s="166">
        <v>4.8359610259563219E-3</v>
      </c>
      <c r="J22" s="166">
        <v>5.6701160801757846E-3</v>
      </c>
      <c r="K22" s="166">
        <v>5.4800602615737793E-3</v>
      </c>
      <c r="L22" s="166">
        <v>5.0369123099310862E-3</v>
      </c>
      <c r="M22" s="166">
        <v>5.0722181725112673E-3</v>
      </c>
      <c r="N22" s="166">
        <v>5.3929825295495172E-3</v>
      </c>
      <c r="O22" s="166">
        <v>5.6809734870791658E-3</v>
      </c>
      <c r="P22" s="166">
        <v>5.9211183979989371E-3</v>
      </c>
      <c r="Q22" s="166">
        <v>6.1293386794992301E-3</v>
      </c>
      <c r="R22" s="166">
        <v>6.3184433040132104E-3</v>
      </c>
      <c r="S22" s="166">
        <v>6.4967853310333055E-3</v>
      </c>
      <c r="T22" s="166">
        <v>6.6689471819286307E-3</v>
      </c>
      <c r="U22" s="166">
        <v>6.8375525020879738E-3</v>
      </c>
      <c r="V22" s="166">
        <v>7.0038827389412809E-3</v>
      </c>
      <c r="W22" s="166">
        <v>7.1680824010437409E-3</v>
      </c>
      <c r="X22" s="166">
        <v>7.3293398864136879E-3</v>
      </c>
      <c r="Y22" s="166">
        <v>7.48438816833219E-3</v>
      </c>
      <c r="Z22" s="166">
        <v>7.6302365309629527E-3</v>
      </c>
      <c r="AA22" s="166">
        <v>7.7649766336472803E-3</v>
      </c>
      <c r="AB22" s="166">
        <v>7.887750333333287E-3</v>
      </c>
      <c r="AC22" s="166">
        <v>7.9987291309812966E-3</v>
      </c>
      <c r="AD22" s="166">
        <v>8.0989141665866356E-3</v>
      </c>
      <c r="AE22" s="166">
        <v>8.1893755190484366E-3</v>
      </c>
      <c r="AF22" s="166">
        <v>8.2710734643527406E-3</v>
      </c>
      <c r="AG22" s="166">
        <v>8.3448704204255545E-3</v>
      </c>
      <c r="AH22" s="166">
        <v>8.4115414706692256E-3</v>
      </c>
      <c r="AI22" s="166">
        <v>8.4717836566364779E-3</v>
      </c>
      <c r="AJ22" s="166">
        <v>8.5262242011953544E-3</v>
      </c>
      <c r="AK22" s="166">
        <v>8.5754277994569035E-3</v>
      </c>
      <c r="AL22" s="166">
        <v>8.6199030947289087E-3</v>
      </c>
      <c r="AM22" s="166">
        <v>8.6601084400430347E-3</v>
      </c>
      <c r="AN22" s="166">
        <v>8.6964570317964E-3</v>
      </c>
      <c r="AO22" s="166">
        <v>8.7293214902445897E-3</v>
      </c>
      <c r="AP22" s="166">
        <v>8.7590379516073076E-3</v>
      </c>
      <c r="AQ22" s="166">
        <v>8.7859097280823303E-3</v>
      </c>
      <c r="AR22" s="166">
        <v>8.8102105848429473E-3</v>
      </c>
      <c r="AS22" s="166">
        <v>8.8102105848429473E-3</v>
      </c>
      <c r="AT22" s="166">
        <v>8.8102105848429473E-3</v>
      </c>
      <c r="AU22" s="166">
        <v>8.8102105848429473E-3</v>
      </c>
      <c r="AV22" s="166">
        <v>8.8102105848429473E-3</v>
      </c>
      <c r="AW22" s="166">
        <v>8.8102105848429473E-3</v>
      </c>
      <c r="AX22" s="166">
        <v>8.8102105848429473E-3</v>
      </c>
      <c r="AY22" s="166">
        <v>8.8102105848429473E-3</v>
      </c>
      <c r="AZ22" s="166">
        <v>8.8102105848429473E-3</v>
      </c>
    </row>
    <row r="23" spans="1:53" s="27" customFormat="1" ht="12.75" customHeight="1">
      <c r="A23" s="57"/>
      <c r="B23" s="36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</row>
    <row r="24" spans="1:53" s="27" customFormat="1">
      <c r="A24" s="57"/>
      <c r="B24" s="58" t="str">
        <f>VLOOKUP("T.02.8", Translation,IF(Language="DE",2,IF(Language="FR",3,4)),FALSE)</f>
        <v>Verbraucherpreisinflation per 31.12.2024</v>
      </c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62"/>
      <c r="T24" s="62"/>
      <c r="U24" s="62"/>
      <c r="X24" s="63"/>
      <c r="Y24" s="64"/>
    </row>
    <row r="25" spans="1:53" s="27" customFormat="1">
      <c r="A25" s="57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62"/>
      <c r="T25" s="62"/>
      <c r="U25" s="62"/>
      <c r="X25" s="63"/>
      <c r="Y25" s="64"/>
    </row>
    <row r="26" spans="1:53" s="59" customFormat="1">
      <c r="B26" s="60" t="str">
        <f>_maturity</f>
        <v>Fälligkeit (in Jahren)</v>
      </c>
      <c r="C26" s="61">
        <v>1</v>
      </c>
      <c r="D26" s="8">
        <f t="shared" ref="D26" si="12">1+C26</f>
        <v>2</v>
      </c>
      <c r="E26" s="8">
        <f t="shared" ref="E26" si="13">1+D26</f>
        <v>3</v>
      </c>
      <c r="F26" s="8">
        <f t="shared" ref="F26" si="14">1+E26</f>
        <v>4</v>
      </c>
      <c r="G26" s="8">
        <f t="shared" ref="G26" si="15">1+F26</f>
        <v>5</v>
      </c>
      <c r="H26" s="8">
        <f t="shared" ref="H26" si="16">1+G26</f>
        <v>6</v>
      </c>
      <c r="I26" s="8">
        <f t="shared" ref="I26" si="17">1+H26</f>
        <v>7</v>
      </c>
      <c r="J26" s="8">
        <f t="shared" ref="J26" si="18">1+I26</f>
        <v>8</v>
      </c>
      <c r="K26" s="8">
        <f t="shared" ref="K26" si="19">1+J26</f>
        <v>9</v>
      </c>
      <c r="L26" s="8">
        <f t="shared" ref="L26" si="20">1+K26</f>
        <v>10</v>
      </c>
      <c r="M26" s="8">
        <f t="shared" ref="M26" si="21">1+L26</f>
        <v>11</v>
      </c>
      <c r="N26" s="8">
        <f t="shared" ref="N26" si="22">1+M26</f>
        <v>12</v>
      </c>
      <c r="O26" s="8">
        <f t="shared" ref="O26" si="23">1+N26</f>
        <v>13</v>
      </c>
      <c r="P26" s="8">
        <f t="shared" ref="P26" si="24">1+O26</f>
        <v>14</v>
      </c>
      <c r="Q26" s="8">
        <f t="shared" ref="Q26" si="25">1+P26</f>
        <v>15</v>
      </c>
      <c r="R26" s="8">
        <f t="shared" ref="R26" si="26">1+Q26</f>
        <v>16</v>
      </c>
      <c r="S26" s="8">
        <f t="shared" ref="S26" si="27">1+R26</f>
        <v>17</v>
      </c>
      <c r="T26" s="8">
        <f t="shared" ref="T26" si="28">1+S26</f>
        <v>18</v>
      </c>
      <c r="U26" s="8">
        <f t="shared" ref="U26" si="29">1+T26</f>
        <v>19</v>
      </c>
      <c r="V26" s="8">
        <f t="shared" ref="V26" si="30">1+U26</f>
        <v>20</v>
      </c>
      <c r="W26" s="8">
        <f t="shared" ref="W26" si="31">1+V26</f>
        <v>21</v>
      </c>
      <c r="X26" s="8">
        <f t="shared" ref="X26" si="32">1+W26</f>
        <v>22</v>
      </c>
      <c r="Y26" s="8">
        <f t="shared" ref="Y26" si="33">1+X26</f>
        <v>23</v>
      </c>
      <c r="Z26" s="8">
        <f t="shared" ref="Z26" si="34">1+Y26</f>
        <v>24</v>
      </c>
      <c r="AA26" s="8">
        <f t="shared" ref="AA26" si="35">1+Z26</f>
        <v>25</v>
      </c>
      <c r="AB26" s="8">
        <f t="shared" ref="AB26" si="36">1+AA26</f>
        <v>26</v>
      </c>
      <c r="AC26" s="8">
        <f t="shared" ref="AC26" si="37">1+AB26</f>
        <v>27</v>
      </c>
      <c r="AD26" s="8">
        <f t="shared" ref="AD26" si="38">1+AC26</f>
        <v>28</v>
      </c>
      <c r="AE26" s="8">
        <f t="shared" ref="AE26" si="39">1+AD26</f>
        <v>29</v>
      </c>
      <c r="AF26" s="8">
        <f t="shared" ref="AF26" si="40">1+AE26</f>
        <v>30</v>
      </c>
      <c r="AG26" s="8">
        <f t="shared" ref="AG26" si="41">1+AF26</f>
        <v>31</v>
      </c>
      <c r="AH26" s="8">
        <f t="shared" ref="AH26" si="42">1+AG26</f>
        <v>32</v>
      </c>
      <c r="AI26" s="8">
        <f t="shared" ref="AI26" si="43">1+AH26</f>
        <v>33</v>
      </c>
      <c r="AJ26" s="8">
        <f t="shared" ref="AJ26" si="44">1+AI26</f>
        <v>34</v>
      </c>
      <c r="AK26" s="8">
        <f t="shared" ref="AK26" si="45">1+AJ26</f>
        <v>35</v>
      </c>
      <c r="AL26" s="8">
        <f t="shared" ref="AL26" si="46">1+AK26</f>
        <v>36</v>
      </c>
      <c r="AM26" s="8">
        <f t="shared" ref="AM26" si="47">1+AL26</f>
        <v>37</v>
      </c>
      <c r="AN26" s="8">
        <f t="shared" ref="AN26" si="48">1+AM26</f>
        <v>38</v>
      </c>
      <c r="AO26" s="8">
        <f t="shared" ref="AO26" si="49">1+AN26</f>
        <v>39</v>
      </c>
      <c r="AP26" s="8">
        <f t="shared" ref="AP26" si="50">1+AO26</f>
        <v>40</v>
      </c>
      <c r="AQ26" s="8">
        <f t="shared" ref="AQ26" si="51">1+AP26</f>
        <v>41</v>
      </c>
      <c r="AR26" s="8">
        <f t="shared" ref="AR26" si="52">1+AQ26</f>
        <v>42</v>
      </c>
      <c r="AS26" s="8">
        <f t="shared" ref="AS26" si="53">1+AR26</f>
        <v>43</v>
      </c>
      <c r="AT26" s="8">
        <f t="shared" ref="AT26" si="54">1+AS26</f>
        <v>44</v>
      </c>
      <c r="AU26" s="8">
        <f t="shared" ref="AU26" si="55">1+AT26</f>
        <v>45</v>
      </c>
      <c r="AV26" s="8">
        <f t="shared" ref="AV26" si="56">1+AU26</f>
        <v>46</v>
      </c>
      <c r="AW26" s="8">
        <f t="shared" ref="AW26" si="57">1+AV26</f>
        <v>47</v>
      </c>
      <c r="AX26" s="8">
        <f t="shared" ref="AX26" si="58">1+AW26</f>
        <v>48</v>
      </c>
      <c r="AY26" s="8">
        <f t="shared" ref="AY26" si="59">1+AX26</f>
        <v>49</v>
      </c>
      <c r="AZ26" s="8">
        <f t="shared" ref="AZ26" si="60">1+AY26</f>
        <v>50</v>
      </c>
      <c r="BA26" s="57"/>
    </row>
    <row r="27" spans="1:53" s="59" customFormat="1" ht="17.25" customHeight="1">
      <c r="B27" s="67" t="str">
        <f>VLOOKUP("T.02.9", Translation,IF(Language="DE",2,IF(Language="FR",3,4)),FALSE)</f>
        <v xml:space="preserve">Verbraucherpreisinflation CHF </v>
      </c>
      <c r="C27" s="181">
        <v>3.9683121910032426E-3</v>
      </c>
      <c r="D27" s="181">
        <v>5.7826410272836526E-3</v>
      </c>
      <c r="E27" s="181">
        <v>7.2706845953214305E-3</v>
      </c>
      <c r="F27" s="181">
        <v>8.5080909174535257E-3</v>
      </c>
      <c r="G27" s="181">
        <v>9.537003209356687E-3</v>
      </c>
      <c r="H27" s="181">
        <v>1.0385200985337129E-2</v>
      </c>
      <c r="I27" s="181">
        <v>1.1074572278434447E-2</v>
      </c>
      <c r="J27" s="181">
        <v>1.1624505873153446E-2</v>
      </c>
      <c r="K27" s="181">
        <v>1.2053006012817447E-2</v>
      </c>
      <c r="L27" s="181">
        <v>1.2376886776116924E-2</v>
      </c>
      <c r="M27" s="181">
        <v>1.2611669834377226E-2</v>
      </c>
      <c r="N27" s="181">
        <v>1.2771447840297379E-2</v>
      </c>
      <c r="O27" s="181">
        <v>1.2868805172482789E-2</v>
      </c>
      <c r="P27" s="181">
        <v>1.2914812850122415E-2</v>
      </c>
      <c r="Q27" s="181">
        <v>1.2919085722359114E-2</v>
      </c>
      <c r="R27" s="181">
        <v>1.2889882427355337E-2</v>
      </c>
      <c r="S27" s="181">
        <v>1.2834229726063739E-2</v>
      </c>
      <c r="T27" s="181">
        <v>1.2758056804853313E-2</v>
      </c>
      <c r="U27" s="181">
        <v>1.2666329451905378E-2</v>
      </c>
      <c r="V27" s="181">
        <v>1.2563177677128667E-2</v>
      </c>
      <c r="W27" s="181">
        <v>1.2452013124598427E-2</v>
      </c>
      <c r="X27" s="181">
        <v>1.2335634581642996E-2</v>
      </c>
      <c r="Y27" s="181">
        <v>1.2216321180113843E-2</v>
      </c>
      <c r="Z27" s="181">
        <v>1.2095913683590975E-2</v>
      </c>
      <c r="AA27" s="181">
        <v>1.1975884705821782E-2</v>
      </c>
      <c r="AB27" s="181">
        <v>1.1857398924675078E-2</v>
      </c>
      <c r="AC27" s="181">
        <v>1.1741364425711831E-2</v>
      </c>
      <c r="AD27" s="181">
        <v>1.1628476288815026E-2</v>
      </c>
      <c r="AE27" s="181">
        <v>1.1519253459619794E-2</v>
      </c>
      <c r="AF27" s="181">
        <v>1.1414069850707032E-2</v>
      </c>
      <c r="AG27" s="181">
        <v>1.131318051182939E-2</v>
      </c>
      <c r="AH27" s="181">
        <v>1.1216743603668311E-2</v>
      </c>
      <c r="AI27" s="181">
        <v>1.1124838811130688E-2</v>
      </c>
      <c r="AJ27" s="181">
        <v>1.1037482742747518E-2</v>
      </c>
      <c r="AK27" s="181">
        <v>1.0954641783289532E-2</v>
      </c>
      <c r="AL27" s="181">
        <v>1.0876242797230651E-2</v>
      </c>
      <c r="AM27" s="181">
        <v>1.0802182020612117E-2</v>
      </c>
      <c r="AN27" s="181">
        <v>1.0732332427281666E-2</v>
      </c>
      <c r="AO27" s="181">
        <v>1.0666549811471526E-2</v>
      </c>
      <c r="AP27" s="181">
        <v>1.0604677791268502E-2</v>
      </c>
      <c r="AQ27" s="181">
        <v>1.0546551905776802E-2</v>
      </c>
      <c r="AR27" s="181">
        <v>1.0492002951951296E-2</v>
      </c>
      <c r="AS27" s="181">
        <v>1.0440859684314407E-2</v>
      </c>
      <c r="AT27" s="181">
        <v>1.039295098162496E-2</v>
      </c>
      <c r="AU27" s="181">
        <v>1.0348107568296516E-2</v>
      </c>
      <c r="AV27" s="181">
        <v>1.0306163364694365E-2</v>
      </c>
      <c r="AW27" s="181">
        <v>1.0266956528820481E-2</v>
      </c>
      <c r="AX27" s="181">
        <v>1.0230330242114061E-2</v>
      </c>
      <c r="AY27" s="181">
        <v>1.0196133283811859E-2</v>
      </c>
      <c r="AZ27" s="181">
        <v>1.0164220431295279E-2</v>
      </c>
      <c r="BA27" s="57"/>
    </row>
    <row r="28" spans="1:53" s="27" customFormat="1" ht="17.25" customHeight="1">
      <c r="A28" s="57"/>
      <c r="B28" s="67" t="str">
        <f>VLOOKUP("T.02.20", Translation,IF(Language="DE",2,IF(Language="FR",3,4)),FALSE)</f>
        <v>Inflationskurve CHF (spot rates)</v>
      </c>
      <c r="C28" s="182">
        <v>3.9683121910032426E-3</v>
      </c>
      <c r="D28" s="182">
        <v>4.8750671318158467E-3</v>
      </c>
      <c r="E28" s="182">
        <v>5.6729725542330467E-3</v>
      </c>
      <c r="F28" s="182">
        <v>6.3810040728815576E-3</v>
      </c>
      <c r="G28" s="182">
        <v>7.0114136125807303E-3</v>
      </c>
      <c r="H28" s="182">
        <v>7.5729281675900317E-3</v>
      </c>
      <c r="I28" s="182">
        <v>8.07241957704119E-3</v>
      </c>
      <c r="J28" s="182">
        <v>8.515747383587069E-3</v>
      </c>
      <c r="K28" s="182">
        <v>8.9081648007256486E-3</v>
      </c>
      <c r="L28" s="182">
        <v>9.2545015031335609E-3</v>
      </c>
      <c r="M28" s="182">
        <v>9.5592381427345163E-3</v>
      </c>
      <c r="N28" s="182">
        <v>9.8265327061499708E-3</v>
      </c>
      <c r="O28" s="182">
        <v>1.0060228894797296E-2</v>
      </c>
      <c r="P28" s="182">
        <v>1.0263860689552651E-2</v>
      </c>
      <c r="Q28" s="182">
        <v>1.044065894699564E-2</v>
      </c>
      <c r="R28" s="182">
        <v>1.05935617591848E-2</v>
      </c>
      <c r="S28" s="182">
        <v>1.0725228432701517E-2</v>
      </c>
      <c r="T28" s="182">
        <v>1.0838056220786152E-2</v>
      </c>
      <c r="U28" s="182">
        <v>1.0934198784737337E-2</v>
      </c>
      <c r="V28" s="182">
        <v>1.1015585453878929E-2</v>
      </c>
      <c r="W28" s="182">
        <v>1.108394053664985E-2</v>
      </c>
      <c r="X28" s="182">
        <v>1.1140802131055505E-2</v>
      </c>
      <c r="Y28" s="182">
        <v>1.1187540057128853E-2</v>
      </c>
      <c r="Z28" s="182">
        <v>1.1225372675843337E-2</v>
      </c>
      <c r="AA28" s="182">
        <v>1.1255382467525887E-2</v>
      </c>
      <c r="AB28" s="182">
        <v>1.1278530322191616E-2</v>
      </c>
      <c r="AC28" s="182">
        <v>1.1295668549732296E-2</v>
      </c>
      <c r="AD28" s="182">
        <v>1.1307552654886699E-2</v>
      </c>
      <c r="AE28" s="182">
        <v>1.1314851945013249E-2</v>
      </c>
      <c r="AF28" s="182">
        <v>1.1318159051720178E-2</v>
      </c>
      <c r="AG28" s="182">
        <v>1.1317998453276523E-2</v>
      </c>
      <c r="AH28" s="182">
        <v>1.131483408576317E-2</v>
      </c>
      <c r="AI28" s="182">
        <v>1.1309076128699358E-2</v>
      </c>
      <c r="AJ28" s="182">
        <v>1.1301087046680758E-2</v>
      </c>
      <c r="AK28" s="182">
        <v>1.1291186963182653E-2</v>
      </c>
      <c r="AL28" s="182">
        <v>1.1279658436745166E-2</v>
      </c>
      <c r="AM28" s="182">
        <v>1.1266750703660788E-2</v>
      </c>
      <c r="AN28" s="182">
        <v>1.1252683445276634E-2</v>
      </c>
      <c r="AO28" s="182">
        <v>1.1237650132293497E-2</v>
      </c>
      <c r="AP28" s="182">
        <v>1.122182099307012E-2</v>
      </c>
      <c r="AQ28" s="182">
        <v>1.1205345647972598E-2</v>
      </c>
      <c r="AR28" s="182">
        <v>1.1188355447280918E-2</v>
      </c>
      <c r="AS28" s="182">
        <v>1.1170965546046796E-2</v>
      </c>
      <c r="AT28" s="182">
        <v>1.1153276745589968E-2</v>
      </c>
      <c r="AU28" s="182">
        <v>1.1135377128004276E-2</v>
      </c>
      <c r="AV28" s="182">
        <v>1.1117343507062838E-2</v>
      </c>
      <c r="AW28" s="182">
        <v>1.1099242716268387E-2</v>
      </c>
      <c r="AX28" s="182">
        <v>1.1081132752442491E-2</v>
      </c>
      <c r="AY28" s="182">
        <v>1.106306379114641E-2</v>
      </c>
      <c r="AZ28" s="182">
        <v>1.1045079088376264E-2</v>
      </c>
    </row>
    <row r="29" spans="1:53">
      <c r="A29" s="57"/>
    </row>
    <row r="30" spans="1:53" s="27" customFormat="1">
      <c r="A30" s="57"/>
      <c r="B30" s="58" t="str">
        <f>VLOOKUP("T.02.10", Translation,IF(Language="DE",2,IF(Language="FR",3,4)),FALSE)</f>
        <v>UVG technischer Zins z(0) und Diskontfaktoren auf Basis z(0); Diskontfunktion: n(t) = (1+z(0))^(-t)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62"/>
      <c r="T30" s="62"/>
      <c r="U30" s="62"/>
      <c r="X30" s="63"/>
      <c r="Y30" s="64"/>
    </row>
    <row r="31" spans="1:53" s="27" customFormat="1">
      <c r="A31" s="57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62"/>
      <c r="T31" s="62"/>
      <c r="U31" s="62"/>
      <c r="X31" s="63"/>
      <c r="Y31" s="64"/>
    </row>
    <row r="32" spans="1:53" s="59" customFormat="1">
      <c r="B32" s="60" t="str">
        <f>_maturity</f>
        <v>Fälligkeit (in Jahren)</v>
      </c>
      <c r="C32" s="61">
        <v>1</v>
      </c>
      <c r="D32" s="8">
        <f t="shared" ref="D32" si="61">1+C32</f>
        <v>2</v>
      </c>
      <c r="E32" s="8">
        <f t="shared" ref="E32" si="62">1+D32</f>
        <v>3</v>
      </c>
      <c r="F32" s="8">
        <f t="shared" ref="F32" si="63">1+E32</f>
        <v>4</v>
      </c>
      <c r="G32" s="8">
        <f t="shared" ref="G32" si="64">1+F32</f>
        <v>5</v>
      </c>
      <c r="H32" s="8">
        <f t="shared" ref="H32" si="65">1+G32</f>
        <v>6</v>
      </c>
      <c r="I32" s="8">
        <f t="shared" ref="I32" si="66">1+H32</f>
        <v>7</v>
      </c>
      <c r="J32" s="8">
        <f t="shared" ref="J32" si="67">1+I32</f>
        <v>8</v>
      </c>
      <c r="K32" s="8">
        <f t="shared" ref="K32" si="68">1+J32</f>
        <v>9</v>
      </c>
      <c r="L32" s="8">
        <f t="shared" ref="L32" si="69">1+K32</f>
        <v>10</v>
      </c>
      <c r="M32" s="8">
        <f t="shared" ref="M32" si="70">1+L32</f>
        <v>11</v>
      </c>
      <c r="N32" s="8">
        <f t="shared" ref="N32" si="71">1+M32</f>
        <v>12</v>
      </c>
      <c r="O32" s="8">
        <f t="shared" ref="O32" si="72">1+N32</f>
        <v>13</v>
      </c>
      <c r="P32" s="8">
        <f t="shared" ref="P32" si="73">1+O32</f>
        <v>14</v>
      </c>
      <c r="Q32" s="8">
        <f t="shared" ref="Q32" si="74">1+P32</f>
        <v>15</v>
      </c>
      <c r="R32" s="8">
        <f t="shared" ref="R32" si="75">1+Q32</f>
        <v>16</v>
      </c>
      <c r="S32" s="8">
        <f t="shared" ref="S32" si="76">1+R32</f>
        <v>17</v>
      </c>
      <c r="T32" s="8">
        <f t="shared" ref="T32" si="77">1+S32</f>
        <v>18</v>
      </c>
      <c r="U32" s="8">
        <f t="shared" ref="U32" si="78">1+T32</f>
        <v>19</v>
      </c>
      <c r="V32" s="8">
        <f t="shared" ref="V32" si="79">1+U32</f>
        <v>20</v>
      </c>
      <c r="W32" s="8">
        <f t="shared" ref="W32" si="80">1+V32</f>
        <v>21</v>
      </c>
      <c r="X32" s="8">
        <f t="shared" ref="X32" si="81">1+W32</f>
        <v>22</v>
      </c>
      <c r="Y32" s="8">
        <f t="shared" ref="Y32" si="82">1+X32</f>
        <v>23</v>
      </c>
      <c r="Z32" s="8">
        <f t="shared" ref="Z32" si="83">1+Y32</f>
        <v>24</v>
      </c>
      <c r="AA32" s="8">
        <f t="shared" ref="AA32" si="84">1+Z32</f>
        <v>25</v>
      </c>
      <c r="AB32" s="8">
        <f t="shared" ref="AB32" si="85">1+AA32</f>
        <v>26</v>
      </c>
      <c r="AC32" s="8">
        <f t="shared" ref="AC32" si="86">1+AB32</f>
        <v>27</v>
      </c>
      <c r="AD32" s="8">
        <f t="shared" ref="AD32" si="87">1+AC32</f>
        <v>28</v>
      </c>
      <c r="AE32" s="8">
        <f t="shared" ref="AE32" si="88">1+AD32</f>
        <v>29</v>
      </c>
      <c r="AF32" s="8">
        <f t="shared" ref="AF32" si="89">1+AE32</f>
        <v>30</v>
      </c>
      <c r="AG32" s="8">
        <f t="shared" ref="AG32" si="90">1+AF32</f>
        <v>31</v>
      </c>
      <c r="AH32" s="8">
        <f t="shared" ref="AH32" si="91">1+AG32</f>
        <v>32</v>
      </c>
      <c r="AI32" s="8">
        <f t="shared" ref="AI32" si="92">1+AH32</f>
        <v>33</v>
      </c>
      <c r="AJ32" s="8">
        <f t="shared" ref="AJ32" si="93">1+AI32</f>
        <v>34</v>
      </c>
      <c r="AK32" s="8">
        <f t="shared" ref="AK32" si="94">1+AJ32</f>
        <v>35</v>
      </c>
      <c r="AL32" s="8">
        <f t="shared" ref="AL32" si="95">1+AK32</f>
        <v>36</v>
      </c>
      <c r="AM32" s="8">
        <f t="shared" ref="AM32" si="96">1+AL32</f>
        <v>37</v>
      </c>
      <c r="AN32" s="8">
        <f t="shared" ref="AN32" si="97">1+AM32</f>
        <v>38</v>
      </c>
      <c r="AO32" s="8">
        <f t="shared" ref="AO32" si="98">1+AN32</f>
        <v>39</v>
      </c>
      <c r="AP32" s="8">
        <f t="shared" ref="AP32" si="99">1+AO32</f>
        <v>40</v>
      </c>
      <c r="AQ32" s="8">
        <f t="shared" ref="AQ32" si="100">1+AP32</f>
        <v>41</v>
      </c>
      <c r="AR32" s="8">
        <f t="shared" ref="AR32" si="101">1+AQ32</f>
        <v>42</v>
      </c>
      <c r="AS32" s="8">
        <f t="shared" ref="AS32" si="102">1+AR32</f>
        <v>43</v>
      </c>
      <c r="AT32" s="8">
        <f t="shared" ref="AT32" si="103">1+AS32</f>
        <v>44</v>
      </c>
      <c r="AU32" s="8">
        <f t="shared" ref="AU32" si="104">1+AT32</f>
        <v>45</v>
      </c>
      <c r="AV32" s="8">
        <f t="shared" ref="AV32" si="105">1+AU32</f>
        <v>46</v>
      </c>
      <c r="AW32" s="8">
        <f t="shared" ref="AW32" si="106">1+AV32</f>
        <v>47</v>
      </c>
      <c r="AX32" s="8">
        <f t="shared" ref="AX32" si="107">1+AW32</f>
        <v>48</v>
      </c>
      <c r="AY32" s="8">
        <f t="shared" ref="AY32" si="108">1+AX32</f>
        <v>49</v>
      </c>
      <c r="AZ32" s="8">
        <f t="shared" ref="AZ32" si="109">1+AY32</f>
        <v>50</v>
      </c>
      <c r="BA32" s="57"/>
    </row>
    <row r="33" spans="1:52" s="27" customFormat="1" ht="18" customHeight="1">
      <c r="A33" s="57"/>
      <c r="B33" s="67" t="str">
        <f>VLOOKUP("T.02.11", Translation,IF(Language="DE",2,IF(Language="FR",3,4)),FALSE)</f>
        <v xml:space="preserve">UVG technischer Zins </v>
      </c>
      <c r="C33" s="118">
        <v>0.01</v>
      </c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</row>
    <row r="34" spans="1:52">
      <c r="B34" s="67" t="str">
        <f>VLOOKUP("T.02.12", Translation,IF(Language="DE",2,IF(Language="FR",3,4)),FALSE)</f>
        <v>Diskonfaktoren</v>
      </c>
      <c r="C34" s="175">
        <f>(1+$C$33)^(-C32)</f>
        <v>0.99009900990099009</v>
      </c>
      <c r="D34" s="119">
        <f t="shared" ref="D34:AZ34" si="110">(1+$C$33)^(-D32)</f>
        <v>0.98029604940692083</v>
      </c>
      <c r="E34" s="119">
        <f t="shared" si="110"/>
        <v>0.97059014792764453</v>
      </c>
      <c r="F34" s="119">
        <f t="shared" si="110"/>
        <v>0.96098034448281622</v>
      </c>
      <c r="G34" s="119">
        <f t="shared" si="110"/>
        <v>0.95146568760674888</v>
      </c>
      <c r="H34" s="119">
        <f t="shared" si="110"/>
        <v>0.94204523525420658</v>
      </c>
      <c r="I34" s="119">
        <f t="shared" si="110"/>
        <v>0.93271805470713554</v>
      </c>
      <c r="J34" s="119">
        <f t="shared" si="110"/>
        <v>0.92348322248231218</v>
      </c>
      <c r="K34" s="119">
        <f t="shared" si="110"/>
        <v>0.91433982423991289</v>
      </c>
      <c r="L34" s="119">
        <f t="shared" si="110"/>
        <v>0.90528695469298315</v>
      </c>
      <c r="M34" s="119">
        <f t="shared" si="110"/>
        <v>0.89632371751780526</v>
      </c>
      <c r="N34" s="119">
        <f t="shared" si="110"/>
        <v>0.88744922526515368</v>
      </c>
      <c r="O34" s="119">
        <f t="shared" si="110"/>
        <v>0.87866259927242929</v>
      </c>
      <c r="P34" s="119">
        <f t="shared" si="110"/>
        <v>0.86996296957666264</v>
      </c>
      <c r="Q34" s="119">
        <f t="shared" si="110"/>
        <v>0.86134947482837909</v>
      </c>
      <c r="R34" s="119">
        <f t="shared" si="110"/>
        <v>0.8528212622063156</v>
      </c>
      <c r="S34" s="119">
        <f t="shared" si="110"/>
        <v>0.84437748733298568</v>
      </c>
      <c r="T34" s="119">
        <f t="shared" si="110"/>
        <v>0.83601731419107495</v>
      </c>
      <c r="U34" s="119">
        <f t="shared" si="110"/>
        <v>0.82773991504066846</v>
      </c>
      <c r="V34" s="119">
        <f t="shared" si="110"/>
        <v>0.81954447033729538</v>
      </c>
      <c r="W34" s="119">
        <f t="shared" si="110"/>
        <v>0.81143016865078765</v>
      </c>
      <c r="X34" s="119">
        <f t="shared" si="110"/>
        <v>0.80339620658493804</v>
      </c>
      <c r="Y34" s="119">
        <f t="shared" si="110"/>
        <v>0.79544178869795856</v>
      </c>
      <c r="Z34" s="119">
        <f t="shared" si="110"/>
        <v>0.78756612742372123</v>
      </c>
      <c r="AA34" s="119">
        <f t="shared" si="110"/>
        <v>0.77976844299378323</v>
      </c>
      <c r="AB34" s="119">
        <f t="shared" si="110"/>
        <v>0.77204796336018144</v>
      </c>
      <c r="AC34" s="119">
        <f t="shared" si="110"/>
        <v>0.76440392411899183</v>
      </c>
      <c r="AD34" s="119">
        <f t="shared" si="110"/>
        <v>0.75683556843464528</v>
      </c>
      <c r="AE34" s="119">
        <f t="shared" si="110"/>
        <v>0.74934214696499535</v>
      </c>
      <c r="AF34" s="119">
        <f t="shared" si="110"/>
        <v>0.74192291778712394</v>
      </c>
      <c r="AG34" s="119">
        <f t="shared" si="110"/>
        <v>0.73457714632388538</v>
      </c>
      <c r="AH34" s="119">
        <f t="shared" si="110"/>
        <v>0.7273041052711734</v>
      </c>
      <c r="AI34" s="119">
        <f t="shared" si="110"/>
        <v>0.72010307452591427</v>
      </c>
      <c r="AJ34" s="119">
        <f t="shared" si="110"/>
        <v>0.71297334111476662</v>
      </c>
      <c r="AK34" s="119">
        <f t="shared" si="110"/>
        <v>0.70591419912353137</v>
      </c>
      <c r="AL34" s="119">
        <f t="shared" si="110"/>
        <v>0.69892494962725871</v>
      </c>
      <c r="AM34" s="119">
        <f t="shared" si="110"/>
        <v>0.69200490062104825</v>
      </c>
      <c r="AN34" s="119">
        <f t="shared" si="110"/>
        <v>0.68515336695153284</v>
      </c>
      <c r="AO34" s="119">
        <f t="shared" si="110"/>
        <v>0.6783696702490426</v>
      </c>
      <c r="AP34" s="119">
        <f t="shared" si="110"/>
        <v>0.67165313886043809</v>
      </c>
      <c r="AQ34" s="119">
        <f t="shared" si="110"/>
        <v>0.66500310778261185</v>
      </c>
      <c r="AR34" s="119">
        <f t="shared" si="110"/>
        <v>0.65841891859664536</v>
      </c>
      <c r="AS34" s="119">
        <f t="shared" si="110"/>
        <v>0.65189991940261938</v>
      </c>
      <c r="AT34" s="119">
        <f t="shared" si="110"/>
        <v>0.64544546475506859</v>
      </c>
      <c r="AU34" s="119">
        <f t="shared" si="110"/>
        <v>0.63905491559907779</v>
      </c>
      <c r="AV34" s="119">
        <f t="shared" si="110"/>
        <v>0.63272763920700759</v>
      </c>
      <c r="AW34" s="119">
        <f t="shared" si="110"/>
        <v>0.6264630091158494</v>
      </c>
      <c r="AX34" s="119">
        <f t="shared" si="110"/>
        <v>0.6202604050651972</v>
      </c>
      <c r="AY34" s="119">
        <f t="shared" si="110"/>
        <v>0.61411921293583871</v>
      </c>
      <c r="AZ34" s="119">
        <f t="shared" si="110"/>
        <v>0.60803882468894921</v>
      </c>
    </row>
    <row r="35" spans="1:52">
      <c r="C35" s="91"/>
    </row>
    <row r="36" spans="1:52">
      <c r="B36" s="87" t="str">
        <f>VLOOKUP("T.02.13", Translation,IF(Language="DE",2,IF(Language="FR",3,4)),FALSE)</f>
        <v>Prozentsatz für Umlagebeiträge (Prämienzuschlag) am 1.01.2025</v>
      </c>
      <c r="C36" s="120">
        <v>0.05</v>
      </c>
    </row>
    <row r="37" spans="1:52">
      <c r="C37" s="109"/>
    </row>
    <row r="38" spans="1:52">
      <c r="B38" s="58" t="str">
        <f>VLOOKUP("T.02.14", Translation,IF(Language="DE",2,IF(Language="FR",3,4)),FALSE)</f>
        <v>Auslenkung der Risikofaktoren: CHF-Zinssatz</v>
      </c>
      <c r="C38" s="109"/>
    </row>
    <row r="39" spans="1:52">
      <c r="C39" s="109"/>
    </row>
    <row r="40" spans="1:52">
      <c r="B40" s="67" t="str">
        <f>VLOOKUP("T.02.15", Translation,IF(Language="DE",2,IF(Language="FR",3,4)),FALSE)</f>
        <v>Auslenkungsintensität in bp</v>
      </c>
      <c r="C40" s="121">
        <v>100</v>
      </c>
    </row>
    <row r="42" spans="1:52" ht="26.1" customHeight="1">
      <c r="B42" s="67" t="str">
        <f>VLOOKUP("T.02.16", Translation,IF(Language="DE",2,IF(Language="FR",3,4)),FALSE)</f>
        <v>Risikofaktor</v>
      </c>
      <c r="C42" s="67" t="str">
        <f>VLOOKUP("T.02.17", Translation,IF(Language="DE",2,IF(Language="FR",3,4)),FALSE)</f>
        <v>Auslenkungs richtung</v>
      </c>
      <c r="D42" s="222" t="str">
        <f>VLOOKUP("T.02.18", Translation,IF(Language="DE",2,IF(Language="FR",3,4)),FALSE)</f>
        <v>Zinsinterval</v>
      </c>
      <c r="E42" s="223"/>
    </row>
    <row r="43" spans="1:52">
      <c r="B43" s="8" t="s">
        <v>5</v>
      </c>
      <c r="C43" s="107"/>
      <c r="D43" s="108"/>
      <c r="E43" s="108"/>
    </row>
    <row r="44" spans="1:52">
      <c r="B44" s="67" t="str">
        <f>_shortTerm</f>
        <v>CHF kurzfristiger Zinssatz</v>
      </c>
      <c r="C44" s="109" t="str">
        <f>_down</f>
        <v>nach unten</v>
      </c>
      <c r="D44">
        <v>1</v>
      </c>
      <c r="E44">
        <v>5</v>
      </c>
    </row>
    <row r="45" spans="1:52">
      <c r="B45" s="67" t="str">
        <f>_shortTerm</f>
        <v>CHF kurzfristiger Zinssatz</v>
      </c>
      <c r="C45" s="109" t="str">
        <f>_up</f>
        <v>nach oben</v>
      </c>
      <c r="D45">
        <v>1</v>
      </c>
      <c r="E45">
        <v>5</v>
      </c>
    </row>
    <row r="46" spans="1:52">
      <c r="B46" s="8" t="s">
        <v>6</v>
      </c>
      <c r="C46" s="109"/>
    </row>
    <row r="47" spans="1:52">
      <c r="B47" s="67" t="str">
        <f>_middleTerm</f>
        <v>CHF mittelfristiger Zinssatz</v>
      </c>
      <c r="C47" s="109" t="str">
        <f>_down</f>
        <v>nach unten</v>
      </c>
      <c r="D47">
        <v>6</v>
      </c>
      <c r="E47">
        <v>19</v>
      </c>
    </row>
    <row r="48" spans="1:52">
      <c r="B48" s="67" t="str">
        <f>_middleTerm</f>
        <v>CHF mittelfristiger Zinssatz</v>
      </c>
      <c r="C48" s="109" t="str">
        <f>_up</f>
        <v>nach oben</v>
      </c>
      <c r="D48">
        <v>6</v>
      </c>
      <c r="E48">
        <v>19</v>
      </c>
    </row>
    <row r="49" spans="2:5">
      <c r="B49" s="8" t="s">
        <v>7</v>
      </c>
      <c r="C49" s="109"/>
    </row>
    <row r="50" spans="2:5">
      <c r="B50" s="67" t="str">
        <f>_LongTerm</f>
        <v>CHF langfristiger Zinssatz</v>
      </c>
      <c r="C50" s="109" t="str">
        <f>_down</f>
        <v>nach unten</v>
      </c>
      <c r="D50">
        <v>20</v>
      </c>
      <c r="E50">
        <v>50</v>
      </c>
    </row>
    <row r="51" spans="2:5">
      <c r="B51" s="67" t="str">
        <f>_LongTerm</f>
        <v>CHF langfristiger Zinssatz</v>
      </c>
      <c r="C51" s="109" t="str">
        <f>_up</f>
        <v>nach oben</v>
      </c>
      <c r="D51">
        <v>20</v>
      </c>
      <c r="E51">
        <v>50</v>
      </c>
    </row>
  </sheetData>
  <mergeCells count="1">
    <mergeCell ref="D42:E4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12304-1600-4952-8D0B-56EA2EC47D5D}">
  <sheetPr>
    <tabColor rgb="FFA2D3EE"/>
  </sheetPr>
  <dimension ref="A1:DA73"/>
  <sheetViews>
    <sheetView showGridLines="0" zoomScale="90" zoomScaleNormal="90" workbookViewId="0">
      <selection activeCell="C48" sqref="C48"/>
    </sheetView>
  </sheetViews>
  <sheetFormatPr defaultColWidth="9.140625" defaultRowHeight="12.75"/>
  <cols>
    <col min="1" max="1" width="4.5703125" customWidth="1"/>
    <col min="2" max="2" width="75.5703125" customWidth="1"/>
    <col min="3" max="3" width="29.85546875" customWidth="1"/>
    <col min="4" max="4" width="26.140625" customWidth="1"/>
    <col min="5" max="5" width="20" customWidth="1"/>
    <col min="6" max="6" width="14.7109375" customWidth="1"/>
    <col min="7" max="7" width="13.85546875" customWidth="1"/>
    <col min="8" max="8" width="13.140625" customWidth="1"/>
    <col min="9" max="10" width="12.5703125" customWidth="1"/>
    <col min="11" max="11" width="13.42578125" customWidth="1"/>
    <col min="12" max="52" width="10.85546875" customWidth="1"/>
    <col min="53" max="54" width="6.28515625" customWidth="1"/>
  </cols>
  <sheetData>
    <row r="1" spans="1:14" s="3" customFormat="1" ht="20.100000000000001" customHeight="1">
      <c r="A1" s="134">
        <v>4</v>
      </c>
      <c r="B1" s="2" t="str">
        <f>VLOOKUP("T.03.1", Translation,IF(Language="DE",2,IF(Language="FR",3,4)),FALSE)</f>
        <v>UVG-Inputdaten</v>
      </c>
    </row>
    <row r="3" spans="1:14" ht="14.25">
      <c r="B3" s="4" t="str">
        <f>VLOOKUP("T.03.2", Translation,IF(Language="DE",2,IF(Language="FR",3,4)),FALSE)</f>
        <v>Stichtag</v>
      </c>
      <c r="C3" s="138" t="str">
        <f>"01.01."&amp;current_year</f>
        <v>01.01.2025</v>
      </c>
    </row>
    <row r="5" spans="1:14" ht="15">
      <c r="B5" s="4" t="str">
        <f>VLOOKUP("T.03.15", Translation,IF(Language="DE",2,IF(Language="FR",3,4)),FALSE)</f>
        <v>Barwerte am 1.01.2025 (in Mio. CHF)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B6" s="16"/>
    </row>
    <row r="7" spans="1:14" ht="25.5">
      <c r="B7" s="141" t="str">
        <f>VLOOKUP("T.03.20", Translation,IF(Language="DE",2,IF(Language="FR",3,4)),FALSE)</f>
        <v xml:space="preserve">Verpflichtungen des UVG-Bestandes </v>
      </c>
      <c r="C7" s="12" t="str">
        <f>VLOOKUP("T.03.21", Translation,IF(Language="DE",2,IF(Language="FR",3,4)),FALSE)</f>
        <v>Statutarische Werte</v>
      </c>
      <c r="D7" s="12" t="str">
        <f>VLOOKUP("T.03.22", Translation,IF(Language="DE",2,IF(Language="FR",3,4)),FALSE)</f>
        <v>Best Estimate Werte 
nicht diskontiert</v>
      </c>
    </row>
    <row r="8" spans="1:14">
      <c r="B8" s="8"/>
      <c r="C8" s="7"/>
      <c r="D8" s="7"/>
    </row>
    <row r="9" spans="1:14">
      <c r="B9" s="17" t="str">
        <f>VLOOKUP("T.03.3", Translation,IF(Language="DE",2,IF(Language="FR",3,4)),FALSE)</f>
        <v>Statutarisches Deckungskapital für Grundrente</v>
      </c>
      <c r="C9" s="195"/>
      <c r="D9" s="196"/>
    </row>
    <row r="10" spans="1:14">
      <c r="B10" s="17" t="str">
        <f>VLOOKUP("T.03.4", Translation,IF(Language="DE",2,IF(Language="FR",3,4)),FALSE)</f>
        <v>Best Estimate-Wert der Grundrente</v>
      </c>
      <c r="C10" s="189"/>
      <c r="D10" s="197"/>
    </row>
    <row r="11" spans="1:14">
      <c r="B11" s="17" t="str">
        <f>VLOOKUP("T.03.7", Translation,IF(Language="DE",2,IF(Language="FR",3,4)),FALSE)</f>
        <v>Schadenrückstellung für Langfristleistungen, davon</v>
      </c>
      <c r="C11" s="189"/>
      <c r="D11" s="197"/>
    </row>
    <row r="12" spans="1:14">
      <c r="B12" s="17" t="str">
        <f>VLOOKUP("T.03.8", Translation,IF(Language="DE",2,IF(Language="FR",3,4)),FALSE)</f>
        <v xml:space="preserve">          künftige Rentenfälle</v>
      </c>
      <c r="C12" s="189"/>
      <c r="D12" s="197"/>
      <c r="E12" s="187" t="s">
        <v>8</v>
      </c>
      <c r="F12" s="208" t="b">
        <f>ROUND(D12,2)=ROUND(SUM(C40:AZ60),2)</f>
        <v>1</v>
      </c>
    </row>
    <row r="13" spans="1:14">
      <c r="B13" s="17" t="str">
        <f>VLOOKUP("T.03.9", Translation,IF(Language="DE",2,IF(Language="FR",3,4)),FALSE)</f>
        <v xml:space="preserve">          übrige Langfristleistungen</v>
      </c>
      <c r="C13" s="189"/>
      <c r="D13" s="189">
        <f>D11-D12</f>
        <v>0</v>
      </c>
    </row>
    <row r="14" spans="1:14">
      <c r="B14" s="17" t="str">
        <f>VLOOKUP("T.03.6", Translation,IF(Language="DE",2,IF(Language="FR",3,4)),FALSE)</f>
        <v>Schadenrückstellung für Kurzfristleistungen</v>
      </c>
      <c r="C14" s="189"/>
      <c r="D14" s="197"/>
    </row>
    <row r="15" spans="1:14">
      <c r="B15" s="17" t="str">
        <f>VLOOKUP("T.03.27", Translation,IF(Language="DE",2,IF(Language="FR",3,4)),FALSE)</f>
        <v>ULAE Rückstellungen</v>
      </c>
      <c r="C15" s="189"/>
      <c r="D15" s="197"/>
    </row>
    <row r="16" spans="1:14">
      <c r="B16" s="17" t="str">
        <f>VLOOKUP("T.03.10", Translation,IF(Language="DE",2,IF(Language="FR",3,4)),FALSE)</f>
        <v>Festgesetzte Teuerungszulagen</v>
      </c>
      <c r="C16" s="197"/>
      <c r="D16" s="197"/>
    </row>
    <row r="17" spans="2:54">
      <c r="B17" s="17" t="str">
        <f>VLOOKUP("T.03.11", Translation,IF(Language="DE",2,IF(Language="FR",3,4)),FALSE)</f>
        <v>geäufnetes Guthaben des Teuerungsfonds</v>
      </c>
      <c r="C17" s="197"/>
      <c r="D17" s="189"/>
      <c r="BA17" s="32"/>
      <c r="BB17" s="32"/>
    </row>
    <row r="18" spans="2:54">
      <c r="B18" s="47"/>
      <c r="C18" s="71"/>
      <c r="D18" s="72"/>
      <c r="F18" s="72"/>
      <c r="G18" s="27"/>
      <c r="BA18" s="32"/>
      <c r="BB18" s="32"/>
    </row>
    <row r="19" spans="2:54" ht="15">
      <c r="B19" s="4" t="str">
        <f>VLOOKUP("T.03.16", Translation,IF(Language="DE",2,IF(Language="FR",3,4)),FALSE)</f>
        <v>Inkrementelle Zahlungsmuster für Leistungen am 1.01.2025 (in %)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BA19" s="32"/>
      <c r="BB19" s="32"/>
    </row>
    <row r="20" spans="2:54" ht="15">
      <c r="B20" s="29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BA20" s="32"/>
      <c r="BB20" s="32"/>
    </row>
    <row r="21" spans="2:54">
      <c r="B21" s="19"/>
      <c r="C21" s="19" t="str">
        <f>VLOOKUP("T.03.25", Translation,IF(Language="DE",2,IF(Language="FR",3,4)),FALSE)</f>
        <v>Auszahlungsjahr</v>
      </c>
      <c r="D21" s="20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32"/>
      <c r="BB21" s="32"/>
    </row>
    <row r="22" spans="2:54">
      <c r="B22" s="19"/>
      <c r="C22" s="6">
        <f t="shared" ref="C22:AH22" si="0">current_year +C38</f>
        <v>2025</v>
      </c>
      <c r="D22" s="6">
        <f t="shared" si="0"/>
        <v>2026</v>
      </c>
      <c r="E22" s="6">
        <f t="shared" si="0"/>
        <v>2027</v>
      </c>
      <c r="F22" s="6">
        <f t="shared" si="0"/>
        <v>2028</v>
      </c>
      <c r="G22" s="6">
        <f t="shared" si="0"/>
        <v>2029</v>
      </c>
      <c r="H22" s="6">
        <f t="shared" si="0"/>
        <v>2030</v>
      </c>
      <c r="I22" s="6">
        <f t="shared" si="0"/>
        <v>2031</v>
      </c>
      <c r="J22" s="6">
        <f t="shared" si="0"/>
        <v>2032</v>
      </c>
      <c r="K22" s="6">
        <f t="shared" si="0"/>
        <v>2033</v>
      </c>
      <c r="L22" s="6">
        <f t="shared" si="0"/>
        <v>2034</v>
      </c>
      <c r="M22" s="6">
        <f t="shared" si="0"/>
        <v>2035</v>
      </c>
      <c r="N22" s="6">
        <f t="shared" si="0"/>
        <v>2036</v>
      </c>
      <c r="O22" s="6">
        <f t="shared" si="0"/>
        <v>2037</v>
      </c>
      <c r="P22" s="6">
        <f t="shared" si="0"/>
        <v>2038</v>
      </c>
      <c r="Q22" s="6">
        <f t="shared" si="0"/>
        <v>2039</v>
      </c>
      <c r="R22" s="6">
        <f t="shared" si="0"/>
        <v>2040</v>
      </c>
      <c r="S22" s="6">
        <f t="shared" si="0"/>
        <v>2041</v>
      </c>
      <c r="T22" s="6">
        <f t="shared" si="0"/>
        <v>2042</v>
      </c>
      <c r="U22" s="6">
        <f t="shared" si="0"/>
        <v>2043</v>
      </c>
      <c r="V22" s="6">
        <f t="shared" si="0"/>
        <v>2044</v>
      </c>
      <c r="W22" s="6">
        <f t="shared" si="0"/>
        <v>2045</v>
      </c>
      <c r="X22" s="6">
        <f t="shared" si="0"/>
        <v>2046</v>
      </c>
      <c r="Y22" s="6">
        <f t="shared" si="0"/>
        <v>2047</v>
      </c>
      <c r="Z22" s="6">
        <f t="shared" si="0"/>
        <v>2048</v>
      </c>
      <c r="AA22" s="6">
        <f t="shared" si="0"/>
        <v>2049</v>
      </c>
      <c r="AB22" s="6">
        <f t="shared" si="0"/>
        <v>2050</v>
      </c>
      <c r="AC22" s="6">
        <f t="shared" si="0"/>
        <v>2051</v>
      </c>
      <c r="AD22" s="6">
        <f t="shared" si="0"/>
        <v>2052</v>
      </c>
      <c r="AE22" s="6">
        <f t="shared" si="0"/>
        <v>2053</v>
      </c>
      <c r="AF22" s="6">
        <f t="shared" si="0"/>
        <v>2054</v>
      </c>
      <c r="AG22" s="6">
        <f t="shared" si="0"/>
        <v>2055</v>
      </c>
      <c r="AH22" s="6">
        <f t="shared" si="0"/>
        <v>2056</v>
      </c>
      <c r="AI22" s="6">
        <f t="shared" ref="AI22:AZ22" si="1">current_year +AI38</f>
        <v>2057</v>
      </c>
      <c r="AJ22" s="6">
        <f t="shared" si="1"/>
        <v>2058</v>
      </c>
      <c r="AK22" s="6">
        <f t="shared" si="1"/>
        <v>2059</v>
      </c>
      <c r="AL22" s="6">
        <f t="shared" si="1"/>
        <v>2060</v>
      </c>
      <c r="AM22" s="6">
        <f t="shared" si="1"/>
        <v>2061</v>
      </c>
      <c r="AN22" s="6">
        <f t="shared" si="1"/>
        <v>2062</v>
      </c>
      <c r="AO22" s="6">
        <f t="shared" si="1"/>
        <v>2063</v>
      </c>
      <c r="AP22" s="6">
        <f t="shared" si="1"/>
        <v>2064</v>
      </c>
      <c r="AQ22" s="6">
        <f t="shared" si="1"/>
        <v>2065</v>
      </c>
      <c r="AR22" s="6">
        <f t="shared" si="1"/>
        <v>2066</v>
      </c>
      <c r="AS22" s="6">
        <f t="shared" si="1"/>
        <v>2067</v>
      </c>
      <c r="AT22" s="6">
        <f t="shared" si="1"/>
        <v>2068</v>
      </c>
      <c r="AU22" s="6">
        <f t="shared" si="1"/>
        <v>2069</v>
      </c>
      <c r="AV22" s="6">
        <f t="shared" si="1"/>
        <v>2070</v>
      </c>
      <c r="AW22" s="6">
        <f t="shared" si="1"/>
        <v>2071</v>
      </c>
      <c r="AX22" s="6">
        <f t="shared" si="1"/>
        <v>2072</v>
      </c>
      <c r="AY22" s="6">
        <f t="shared" si="1"/>
        <v>2073</v>
      </c>
      <c r="AZ22" s="6">
        <f t="shared" si="1"/>
        <v>2074</v>
      </c>
      <c r="BA22" s="32"/>
      <c r="BB22" s="32"/>
    </row>
    <row r="23" spans="2:54">
      <c r="B23" s="22" t="str">
        <f>VLOOKUP("T.03.4", Translation,IF(Language="DE",2,IF(Language="FR",3,4)),FALSE)</f>
        <v>Best Estimate-Wert der Grundrente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32"/>
      <c r="BB23" s="32"/>
    </row>
    <row r="24" spans="2:54" ht="7.5" customHeight="1">
      <c r="B24" s="74"/>
      <c r="C24" s="75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2"/>
      <c r="BB24" s="32"/>
    </row>
    <row r="25" spans="2:54">
      <c r="B25" s="22" t="str">
        <f>VLOOKUP("T.03.5", Translation,IF(Language="DE",2,IF(Language="FR",3,4)),FALSE)</f>
        <v>Schadenrückstellung für Langfristleistungen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32"/>
      <c r="BB25" s="32"/>
    </row>
    <row r="26" spans="2:54">
      <c r="B26" s="22" t="str">
        <f>VLOOKUP("T.03.6", Translation,IF(Language="DE",2,IF(Language="FR",3,4)),FALSE)</f>
        <v>Schadenrückstellung für Kurzfristleistungen</v>
      </c>
      <c r="C26" s="25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32"/>
      <c r="BB26" s="32"/>
    </row>
    <row r="27" spans="2:54">
      <c r="B27" s="22" t="str">
        <f>VLOOKUP("T.03.24", Translation,IF(Language="DE",2,IF(Language="FR",3,4)),FALSE)</f>
        <v>Schadenrückstellung Total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32"/>
      <c r="BB27" s="32"/>
    </row>
    <row r="28" spans="2:54" ht="7.5" customHeight="1">
      <c r="B28" s="74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32"/>
      <c r="BB28" s="32"/>
    </row>
    <row r="29" spans="2:54">
      <c r="B29" s="22" t="str">
        <f>VLOOKUP("T.03.10", Translation,IF(Language="DE",2,IF(Language="FR",3,4)),FALSE)</f>
        <v>Festgesetzte Teuerungszulagen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32"/>
      <c r="BB29" s="32"/>
    </row>
    <row r="30" spans="2:54" s="32" customFormat="1">
      <c r="B30" s="103"/>
      <c r="C30" s="104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</row>
    <row r="31" spans="2:54" s="32" customFormat="1">
      <c r="B31" s="87" t="str">
        <f>VLOOKUP("T.03.17", Translation,IF(Language="DE",2,IF(Language="FR",3,4)),FALSE)</f>
        <v>Umlagebeitrag im Jahr 2025 (in Mio. CHF)</v>
      </c>
      <c r="C31" s="165"/>
      <c r="D31" s="165"/>
      <c r="E31" s="165"/>
      <c r="F31" s="165"/>
      <c r="G31" s="16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</row>
    <row r="32" spans="2:54" s="32" customFormat="1">
      <c r="B32" s="103"/>
      <c r="C32" s="104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</row>
    <row r="33" spans="1:105">
      <c r="B33" s="87" t="str">
        <f>VLOOKUP("T.03.18", Translation,IF(Language="DE",2,IF(Language="FR",3,4)),FALSE)</f>
        <v>Durchschnittliche Auszahlung an andere Poolmitglieder (in Mio. CHF)</v>
      </c>
      <c r="C33" s="186">
        <v>0</v>
      </c>
      <c r="AZ33" s="105"/>
      <c r="BA33" s="32"/>
      <c r="BB33" s="32"/>
      <c r="DA33" s="32"/>
    </row>
    <row r="34" spans="1:105" s="32" customFormat="1">
      <c r="B34" s="95"/>
      <c r="C34" s="96"/>
      <c r="AZ34" s="105"/>
    </row>
    <row r="35" spans="1:105" ht="15">
      <c r="B35" s="4" t="str">
        <f>VLOOKUP("T.03.13", Translation,IF(Language="DE",2,IF(Language="FR",3,4)),FALSE)</f>
        <v>Inkrementelle Zahlungsmuster für künftige Neurenten ab dem Jahr 2025 (in Mio. CHF; jeweils am Ende des Jahres)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AZ35" s="105"/>
      <c r="BA35" s="32"/>
      <c r="BB35" s="32"/>
      <c r="DA35" s="32"/>
    </row>
    <row r="36" spans="1:105">
      <c r="BA36" s="32"/>
      <c r="BB36" s="32"/>
    </row>
    <row r="37" spans="1:105">
      <c r="B37" s="19" t="str">
        <f>VLOOKUP("T.03.14", Translation,IF(Language="DE",2,IF(Language="FR",3,4)),FALSE)</f>
        <v>Zahlungsströme</v>
      </c>
      <c r="C37" s="19" t="str">
        <f>VLOOKUP("T.03.25", Translation,IF(Language="DE",2,IF(Language="FR",3,4)),FALSE)</f>
        <v>Auszahlungsjahr</v>
      </c>
      <c r="D37" s="76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32"/>
      <c r="BB37" s="32"/>
    </row>
    <row r="38" spans="1:105">
      <c r="B38" s="19"/>
      <c r="C38" s="79">
        <v>0</v>
      </c>
      <c r="D38" s="80">
        <v>1</v>
      </c>
      <c r="E38" s="80">
        <v>2</v>
      </c>
      <c r="F38" s="80">
        <v>3</v>
      </c>
      <c r="G38" s="80">
        <v>4</v>
      </c>
      <c r="H38" s="80">
        <v>5</v>
      </c>
      <c r="I38" s="80">
        <v>6</v>
      </c>
      <c r="J38" s="80">
        <v>7</v>
      </c>
      <c r="K38" s="80">
        <v>8</v>
      </c>
      <c r="L38" s="80">
        <v>9</v>
      </c>
      <c r="M38" s="80">
        <v>10</v>
      </c>
      <c r="N38" s="80">
        <v>11</v>
      </c>
      <c r="O38" s="80">
        <v>12</v>
      </c>
      <c r="P38" s="80">
        <v>13</v>
      </c>
      <c r="Q38" s="80">
        <v>14</v>
      </c>
      <c r="R38" s="80">
        <v>15</v>
      </c>
      <c r="S38" s="80">
        <v>16</v>
      </c>
      <c r="T38" s="80">
        <v>17</v>
      </c>
      <c r="U38" s="80">
        <v>18</v>
      </c>
      <c r="V38" s="80">
        <v>19</v>
      </c>
      <c r="W38" s="80">
        <v>20</v>
      </c>
      <c r="X38" s="80">
        <v>21</v>
      </c>
      <c r="Y38" s="80">
        <v>22</v>
      </c>
      <c r="Z38" s="80">
        <v>23</v>
      </c>
      <c r="AA38" s="80">
        <v>24</v>
      </c>
      <c r="AB38" s="80">
        <v>25</v>
      </c>
      <c r="AC38" s="80">
        <v>26</v>
      </c>
      <c r="AD38" s="80">
        <v>27</v>
      </c>
      <c r="AE38" s="80">
        <v>28</v>
      </c>
      <c r="AF38" s="80">
        <v>29</v>
      </c>
      <c r="AG38" s="80">
        <v>30</v>
      </c>
      <c r="AH38" s="80">
        <v>31</v>
      </c>
      <c r="AI38" s="80">
        <v>32</v>
      </c>
      <c r="AJ38" s="80">
        <v>33</v>
      </c>
      <c r="AK38" s="80">
        <v>34</v>
      </c>
      <c r="AL38" s="80">
        <v>35</v>
      </c>
      <c r="AM38" s="80">
        <v>36</v>
      </c>
      <c r="AN38" s="80">
        <v>37</v>
      </c>
      <c r="AO38" s="80">
        <v>38</v>
      </c>
      <c r="AP38" s="80">
        <v>39</v>
      </c>
      <c r="AQ38" s="80">
        <v>40</v>
      </c>
      <c r="AR38" s="80">
        <v>41</v>
      </c>
      <c r="AS38" s="80">
        <v>42</v>
      </c>
      <c r="AT38" s="80">
        <v>43</v>
      </c>
      <c r="AU38" s="80">
        <v>44</v>
      </c>
      <c r="AV38" s="80">
        <v>45</v>
      </c>
      <c r="AW38" s="80">
        <v>46</v>
      </c>
      <c r="AX38" s="80">
        <v>47</v>
      </c>
      <c r="AY38" s="80">
        <v>48</v>
      </c>
      <c r="AZ38" s="81">
        <v>49</v>
      </c>
      <c r="BA38" s="32"/>
      <c r="BB38" s="32"/>
    </row>
    <row r="39" spans="1:105">
      <c r="B39" s="19"/>
      <c r="C39" s="106">
        <f>current_year +C38</f>
        <v>2025</v>
      </c>
      <c r="D39" s="106">
        <f t="shared" ref="D39:AH39" si="2">current_year +D38</f>
        <v>2026</v>
      </c>
      <c r="E39" s="106">
        <f t="shared" si="2"/>
        <v>2027</v>
      </c>
      <c r="F39" s="106">
        <f t="shared" si="2"/>
        <v>2028</v>
      </c>
      <c r="G39" s="106">
        <f t="shared" si="2"/>
        <v>2029</v>
      </c>
      <c r="H39" s="106">
        <f t="shared" si="2"/>
        <v>2030</v>
      </c>
      <c r="I39" s="106">
        <f t="shared" si="2"/>
        <v>2031</v>
      </c>
      <c r="J39" s="106">
        <f t="shared" si="2"/>
        <v>2032</v>
      </c>
      <c r="K39" s="106">
        <f t="shared" si="2"/>
        <v>2033</v>
      </c>
      <c r="L39" s="106">
        <f t="shared" si="2"/>
        <v>2034</v>
      </c>
      <c r="M39" s="106">
        <f t="shared" si="2"/>
        <v>2035</v>
      </c>
      <c r="N39" s="106">
        <f t="shared" si="2"/>
        <v>2036</v>
      </c>
      <c r="O39" s="106">
        <f t="shared" si="2"/>
        <v>2037</v>
      </c>
      <c r="P39" s="106">
        <f t="shared" si="2"/>
        <v>2038</v>
      </c>
      <c r="Q39" s="106">
        <f t="shared" si="2"/>
        <v>2039</v>
      </c>
      <c r="R39" s="106">
        <f t="shared" si="2"/>
        <v>2040</v>
      </c>
      <c r="S39" s="106">
        <f t="shared" si="2"/>
        <v>2041</v>
      </c>
      <c r="T39" s="106">
        <f t="shared" si="2"/>
        <v>2042</v>
      </c>
      <c r="U39" s="106">
        <f t="shared" si="2"/>
        <v>2043</v>
      </c>
      <c r="V39" s="106">
        <f t="shared" si="2"/>
        <v>2044</v>
      </c>
      <c r="W39" s="106">
        <f t="shared" si="2"/>
        <v>2045</v>
      </c>
      <c r="X39" s="106">
        <f t="shared" si="2"/>
        <v>2046</v>
      </c>
      <c r="Y39" s="106">
        <f t="shared" si="2"/>
        <v>2047</v>
      </c>
      <c r="Z39" s="106">
        <f t="shared" si="2"/>
        <v>2048</v>
      </c>
      <c r="AA39" s="106">
        <f t="shared" si="2"/>
        <v>2049</v>
      </c>
      <c r="AB39" s="106">
        <f t="shared" si="2"/>
        <v>2050</v>
      </c>
      <c r="AC39" s="106">
        <f t="shared" si="2"/>
        <v>2051</v>
      </c>
      <c r="AD39" s="106">
        <f t="shared" si="2"/>
        <v>2052</v>
      </c>
      <c r="AE39" s="106">
        <f t="shared" si="2"/>
        <v>2053</v>
      </c>
      <c r="AF39" s="106">
        <f t="shared" si="2"/>
        <v>2054</v>
      </c>
      <c r="AG39" s="106">
        <f t="shared" si="2"/>
        <v>2055</v>
      </c>
      <c r="AH39" s="106">
        <f t="shared" si="2"/>
        <v>2056</v>
      </c>
      <c r="AI39" s="106">
        <f t="shared" ref="AI39:AZ39" si="3">current_year +AI38</f>
        <v>2057</v>
      </c>
      <c r="AJ39" s="106">
        <f t="shared" si="3"/>
        <v>2058</v>
      </c>
      <c r="AK39" s="106">
        <f t="shared" si="3"/>
        <v>2059</v>
      </c>
      <c r="AL39" s="106">
        <f t="shared" si="3"/>
        <v>2060</v>
      </c>
      <c r="AM39" s="106">
        <f t="shared" si="3"/>
        <v>2061</v>
      </c>
      <c r="AN39" s="106">
        <f t="shared" si="3"/>
        <v>2062</v>
      </c>
      <c r="AO39" s="106">
        <f t="shared" si="3"/>
        <v>2063</v>
      </c>
      <c r="AP39" s="106">
        <f t="shared" si="3"/>
        <v>2064</v>
      </c>
      <c r="AQ39" s="106">
        <f t="shared" si="3"/>
        <v>2065</v>
      </c>
      <c r="AR39" s="106">
        <f t="shared" si="3"/>
        <v>2066</v>
      </c>
      <c r="AS39" s="106">
        <f t="shared" si="3"/>
        <v>2067</v>
      </c>
      <c r="AT39" s="106">
        <f t="shared" si="3"/>
        <v>2068</v>
      </c>
      <c r="AU39" s="106">
        <f t="shared" si="3"/>
        <v>2069</v>
      </c>
      <c r="AV39" s="106">
        <f t="shared" si="3"/>
        <v>2070</v>
      </c>
      <c r="AW39" s="106">
        <f t="shared" si="3"/>
        <v>2071</v>
      </c>
      <c r="AX39" s="106">
        <f t="shared" si="3"/>
        <v>2072</v>
      </c>
      <c r="AY39" s="106">
        <f t="shared" si="3"/>
        <v>2073</v>
      </c>
      <c r="AZ39" s="106">
        <f t="shared" si="3"/>
        <v>2074</v>
      </c>
      <c r="BA39" s="32"/>
      <c r="BB39" s="32"/>
    </row>
    <row r="40" spans="1:105">
      <c r="A40">
        <v>0</v>
      </c>
      <c r="B40" s="22" t="str">
        <f t="shared" ref="B40:B60" si="4">_neurente &amp; current_year+A40</f>
        <v>Neurente im Jahr 2025</v>
      </c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0"/>
      <c r="AK40" s="170"/>
      <c r="AL40" s="170"/>
      <c r="AM40" s="170"/>
      <c r="AN40" s="170"/>
      <c r="AO40" s="170"/>
      <c r="AP40" s="170"/>
      <c r="AQ40" s="170"/>
      <c r="AR40" s="170"/>
      <c r="AS40" s="170"/>
      <c r="AT40" s="170"/>
      <c r="AU40" s="170"/>
      <c r="AV40" s="170"/>
      <c r="AW40" s="170"/>
      <c r="AX40" s="170"/>
      <c r="AY40" s="170"/>
      <c r="AZ40" s="170"/>
      <c r="BA40" s="32"/>
      <c r="BB40" s="32"/>
    </row>
    <row r="41" spans="1:105">
      <c r="A41">
        <v>1</v>
      </c>
      <c r="B41" s="22" t="str">
        <f t="shared" si="4"/>
        <v>Neurente im Jahr 2026</v>
      </c>
      <c r="C41" s="176"/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0"/>
      <c r="AK41" s="170"/>
      <c r="AL41" s="170"/>
      <c r="AM41" s="170"/>
      <c r="AN41" s="170"/>
      <c r="AO41" s="170"/>
      <c r="AP41" s="170"/>
      <c r="AQ41" s="170"/>
      <c r="AR41" s="170"/>
      <c r="AS41" s="170"/>
      <c r="AT41" s="170"/>
      <c r="AU41" s="170"/>
      <c r="AV41" s="170"/>
      <c r="AW41" s="170"/>
      <c r="AX41" s="170"/>
      <c r="AY41" s="170"/>
      <c r="AZ41" s="170"/>
      <c r="BA41" s="32"/>
      <c r="BB41" s="32"/>
    </row>
    <row r="42" spans="1:105">
      <c r="A42">
        <v>2</v>
      </c>
      <c r="B42" s="22" t="str">
        <f t="shared" si="4"/>
        <v>Neurente im Jahr 2027</v>
      </c>
      <c r="C42" s="176"/>
      <c r="D42" s="176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0"/>
      <c r="AK42" s="170"/>
      <c r="AL42" s="170"/>
      <c r="AM42" s="170"/>
      <c r="AN42" s="170"/>
      <c r="AO42" s="170"/>
      <c r="AP42" s="170"/>
      <c r="AQ42" s="170"/>
      <c r="AR42" s="170"/>
      <c r="AS42" s="170"/>
      <c r="AT42" s="170"/>
      <c r="AU42" s="170"/>
      <c r="AV42" s="170"/>
      <c r="AW42" s="170"/>
      <c r="AX42" s="170"/>
      <c r="AY42" s="170"/>
      <c r="AZ42" s="170"/>
      <c r="BA42" s="32"/>
      <c r="BB42" s="32"/>
    </row>
    <row r="43" spans="1:105">
      <c r="A43">
        <v>3</v>
      </c>
      <c r="B43" s="22" t="str">
        <f t="shared" si="4"/>
        <v>Neurente im Jahr 2028</v>
      </c>
      <c r="C43" s="176"/>
      <c r="D43" s="176"/>
      <c r="E43" s="176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170"/>
      <c r="AK43" s="170"/>
      <c r="AL43" s="170"/>
      <c r="AM43" s="170"/>
      <c r="AN43" s="170"/>
      <c r="AO43" s="170"/>
      <c r="AP43" s="170"/>
      <c r="AQ43" s="170"/>
      <c r="AR43" s="170"/>
      <c r="AS43" s="170"/>
      <c r="AT43" s="170"/>
      <c r="AU43" s="170"/>
      <c r="AV43" s="170"/>
      <c r="AW43" s="170"/>
      <c r="AX43" s="170"/>
      <c r="AY43" s="170"/>
      <c r="AZ43" s="170"/>
      <c r="BA43" s="32"/>
      <c r="BB43" s="32"/>
    </row>
    <row r="44" spans="1:105">
      <c r="A44">
        <v>4</v>
      </c>
      <c r="B44" s="22" t="str">
        <f t="shared" si="4"/>
        <v>Neurente im Jahr 2029</v>
      </c>
      <c r="C44" s="176"/>
      <c r="D44" s="176"/>
      <c r="E44" s="176"/>
      <c r="F44" s="176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  <c r="R44" s="170"/>
      <c r="S44" s="170"/>
      <c r="T44" s="170"/>
      <c r="U44" s="170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0"/>
      <c r="AK44" s="170"/>
      <c r="AL44" s="170"/>
      <c r="AM44" s="170"/>
      <c r="AN44" s="170"/>
      <c r="AO44" s="170"/>
      <c r="AP44" s="170"/>
      <c r="AQ44" s="170"/>
      <c r="AR44" s="170"/>
      <c r="AS44" s="170"/>
      <c r="AT44" s="170"/>
      <c r="AU44" s="170"/>
      <c r="AV44" s="170"/>
      <c r="AW44" s="170"/>
      <c r="AX44" s="170"/>
      <c r="AY44" s="170"/>
      <c r="AZ44" s="170"/>
      <c r="BA44" s="32"/>
      <c r="BB44" s="32"/>
    </row>
    <row r="45" spans="1:105">
      <c r="A45">
        <v>5</v>
      </c>
      <c r="B45" s="22" t="str">
        <f t="shared" si="4"/>
        <v>Neurente im Jahr 2030</v>
      </c>
      <c r="C45" s="176"/>
      <c r="D45" s="176"/>
      <c r="E45" s="176"/>
      <c r="F45" s="176"/>
      <c r="G45" s="176"/>
      <c r="H45" s="170"/>
      <c r="I45" s="170"/>
      <c r="J45" s="170"/>
      <c r="K45" s="170"/>
      <c r="L45" s="170"/>
      <c r="M45" s="170"/>
      <c r="N45" s="170"/>
      <c r="O45" s="170"/>
      <c r="P45" s="170"/>
      <c r="Q45" s="170"/>
      <c r="R45" s="170"/>
      <c r="S45" s="170"/>
      <c r="T45" s="170"/>
      <c r="U45" s="170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  <c r="AF45" s="170"/>
      <c r="AG45" s="170"/>
      <c r="AH45" s="170"/>
      <c r="AI45" s="170"/>
      <c r="AJ45" s="170"/>
      <c r="AK45" s="170"/>
      <c r="AL45" s="170"/>
      <c r="AM45" s="170"/>
      <c r="AN45" s="170"/>
      <c r="AO45" s="170"/>
      <c r="AP45" s="170"/>
      <c r="AQ45" s="170"/>
      <c r="AR45" s="170"/>
      <c r="AS45" s="170"/>
      <c r="AT45" s="170"/>
      <c r="AU45" s="170"/>
      <c r="AV45" s="170"/>
      <c r="AW45" s="170"/>
      <c r="AX45" s="170"/>
      <c r="AY45" s="170"/>
      <c r="AZ45" s="170"/>
      <c r="BA45" s="32"/>
      <c r="BB45" s="32"/>
    </row>
    <row r="46" spans="1:105">
      <c r="A46">
        <v>6</v>
      </c>
      <c r="B46" s="22" t="str">
        <f t="shared" si="4"/>
        <v>Neurente im Jahr 2031</v>
      </c>
      <c r="C46" s="176"/>
      <c r="D46" s="176"/>
      <c r="E46" s="176"/>
      <c r="F46" s="176"/>
      <c r="G46" s="176"/>
      <c r="H46" s="176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  <c r="AI46" s="170"/>
      <c r="AJ46" s="170"/>
      <c r="AK46" s="170"/>
      <c r="AL46" s="170"/>
      <c r="AM46" s="170"/>
      <c r="AN46" s="170"/>
      <c r="AO46" s="170"/>
      <c r="AP46" s="170"/>
      <c r="AQ46" s="170"/>
      <c r="AR46" s="170"/>
      <c r="AS46" s="170"/>
      <c r="AT46" s="170"/>
      <c r="AU46" s="170"/>
      <c r="AV46" s="170"/>
      <c r="AW46" s="170"/>
      <c r="AX46" s="170"/>
      <c r="AY46" s="170"/>
      <c r="AZ46" s="170"/>
      <c r="BA46" s="32"/>
      <c r="BB46" s="32"/>
    </row>
    <row r="47" spans="1:105">
      <c r="A47">
        <v>7</v>
      </c>
      <c r="B47" s="22" t="str">
        <f t="shared" si="4"/>
        <v>Neurente im Jahr 2032</v>
      </c>
      <c r="C47" s="176"/>
      <c r="D47" s="176"/>
      <c r="E47" s="176"/>
      <c r="F47" s="176"/>
      <c r="G47" s="176"/>
      <c r="H47" s="176"/>
      <c r="I47" s="176"/>
      <c r="J47" s="170"/>
      <c r="K47" s="170"/>
      <c r="L47" s="170"/>
      <c r="M47" s="170"/>
      <c r="N47" s="170"/>
      <c r="O47" s="170"/>
      <c r="P47" s="170"/>
      <c r="Q47" s="170"/>
      <c r="R47" s="170"/>
      <c r="S47" s="170"/>
      <c r="T47" s="170"/>
      <c r="U47" s="170"/>
      <c r="V47" s="170"/>
      <c r="W47" s="170"/>
      <c r="X47" s="170"/>
      <c r="Y47" s="170"/>
      <c r="Z47" s="170"/>
      <c r="AA47" s="170"/>
      <c r="AB47" s="170"/>
      <c r="AC47" s="170"/>
      <c r="AD47" s="170"/>
      <c r="AE47" s="170"/>
      <c r="AF47" s="170"/>
      <c r="AG47" s="170"/>
      <c r="AH47" s="170"/>
      <c r="AI47" s="170"/>
      <c r="AJ47" s="170"/>
      <c r="AK47" s="170"/>
      <c r="AL47" s="170"/>
      <c r="AM47" s="170"/>
      <c r="AN47" s="170"/>
      <c r="AO47" s="170"/>
      <c r="AP47" s="170"/>
      <c r="AQ47" s="170"/>
      <c r="AR47" s="170"/>
      <c r="AS47" s="170"/>
      <c r="AT47" s="170"/>
      <c r="AU47" s="170"/>
      <c r="AV47" s="170"/>
      <c r="AW47" s="170"/>
      <c r="AX47" s="170"/>
      <c r="AY47" s="170"/>
      <c r="AZ47" s="170"/>
      <c r="BA47" s="32"/>
      <c r="BB47" s="32"/>
    </row>
    <row r="48" spans="1:105">
      <c r="A48">
        <v>8</v>
      </c>
      <c r="B48" s="22" t="str">
        <f t="shared" si="4"/>
        <v>Neurente im Jahr 2033</v>
      </c>
      <c r="C48" s="176"/>
      <c r="D48" s="176"/>
      <c r="E48" s="176"/>
      <c r="F48" s="176"/>
      <c r="G48" s="176"/>
      <c r="H48" s="176"/>
      <c r="I48" s="176"/>
      <c r="J48" s="176"/>
      <c r="K48" s="170"/>
      <c r="L48" s="170"/>
      <c r="M48" s="170"/>
      <c r="N48" s="170"/>
      <c r="O48" s="170"/>
      <c r="P48" s="170"/>
      <c r="Q48" s="170"/>
      <c r="R48" s="170"/>
      <c r="S48" s="170"/>
      <c r="T48" s="170"/>
      <c r="U48" s="170"/>
      <c r="V48" s="170"/>
      <c r="W48" s="170"/>
      <c r="X48" s="170"/>
      <c r="Y48" s="170"/>
      <c r="Z48" s="170"/>
      <c r="AA48" s="170"/>
      <c r="AB48" s="170"/>
      <c r="AC48" s="170"/>
      <c r="AD48" s="170"/>
      <c r="AE48" s="170"/>
      <c r="AF48" s="170"/>
      <c r="AG48" s="170"/>
      <c r="AH48" s="170"/>
      <c r="AI48" s="170"/>
      <c r="AJ48" s="170"/>
      <c r="AK48" s="170"/>
      <c r="AL48" s="170"/>
      <c r="AM48" s="170"/>
      <c r="AN48" s="170"/>
      <c r="AO48" s="170"/>
      <c r="AP48" s="170"/>
      <c r="AQ48" s="170"/>
      <c r="AR48" s="170"/>
      <c r="AS48" s="170"/>
      <c r="AT48" s="170"/>
      <c r="AU48" s="170"/>
      <c r="AV48" s="170"/>
      <c r="AW48" s="170"/>
      <c r="AX48" s="170"/>
      <c r="AY48" s="170"/>
      <c r="AZ48" s="170"/>
      <c r="BA48" s="32"/>
      <c r="BB48" s="32"/>
    </row>
    <row r="49" spans="1:72">
      <c r="A49">
        <v>9</v>
      </c>
      <c r="B49" s="22" t="str">
        <f t="shared" si="4"/>
        <v>Neurente im Jahr 2034</v>
      </c>
      <c r="C49" s="176"/>
      <c r="D49" s="176"/>
      <c r="E49" s="176"/>
      <c r="F49" s="176"/>
      <c r="G49" s="176"/>
      <c r="H49" s="176"/>
      <c r="I49" s="176"/>
      <c r="J49" s="176"/>
      <c r="K49" s="176"/>
      <c r="L49" s="170"/>
      <c r="M49" s="170"/>
      <c r="N49" s="170"/>
      <c r="O49" s="170"/>
      <c r="P49" s="170"/>
      <c r="Q49" s="170"/>
      <c r="R49" s="170"/>
      <c r="S49" s="170"/>
      <c r="T49" s="170"/>
      <c r="U49" s="170"/>
      <c r="V49" s="170"/>
      <c r="W49" s="170"/>
      <c r="X49" s="170"/>
      <c r="Y49" s="170"/>
      <c r="Z49" s="170"/>
      <c r="AA49" s="170"/>
      <c r="AB49" s="170"/>
      <c r="AC49" s="170"/>
      <c r="AD49" s="170"/>
      <c r="AE49" s="170"/>
      <c r="AF49" s="170"/>
      <c r="AG49" s="170"/>
      <c r="AH49" s="170"/>
      <c r="AI49" s="170"/>
      <c r="AJ49" s="170"/>
      <c r="AK49" s="170"/>
      <c r="AL49" s="170"/>
      <c r="AM49" s="170"/>
      <c r="AN49" s="170"/>
      <c r="AO49" s="170"/>
      <c r="AP49" s="170"/>
      <c r="AQ49" s="170"/>
      <c r="AR49" s="170"/>
      <c r="AS49" s="170"/>
      <c r="AT49" s="170"/>
      <c r="AU49" s="170"/>
      <c r="AV49" s="170"/>
      <c r="AW49" s="170"/>
      <c r="AX49" s="170"/>
      <c r="AY49" s="170"/>
      <c r="AZ49" s="170"/>
      <c r="BA49" s="32"/>
      <c r="BB49" s="32"/>
    </row>
    <row r="50" spans="1:72">
      <c r="A50">
        <v>10</v>
      </c>
      <c r="B50" s="22" t="str">
        <f t="shared" si="4"/>
        <v>Neurente im Jahr 2035</v>
      </c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0"/>
      <c r="N50" s="170"/>
      <c r="O50" s="170"/>
      <c r="P50" s="170"/>
      <c r="Q50" s="170"/>
      <c r="R50" s="170"/>
      <c r="S50" s="170"/>
      <c r="T50" s="170"/>
      <c r="U50" s="170"/>
      <c r="V50" s="170"/>
      <c r="W50" s="170"/>
      <c r="X50" s="170"/>
      <c r="Y50" s="170"/>
      <c r="Z50" s="170"/>
      <c r="AA50" s="170"/>
      <c r="AB50" s="170"/>
      <c r="AC50" s="170"/>
      <c r="AD50" s="170"/>
      <c r="AE50" s="170"/>
      <c r="AF50" s="170"/>
      <c r="AG50" s="170"/>
      <c r="AH50" s="170"/>
      <c r="AI50" s="170"/>
      <c r="AJ50" s="170"/>
      <c r="AK50" s="170"/>
      <c r="AL50" s="170"/>
      <c r="AM50" s="170"/>
      <c r="AN50" s="170"/>
      <c r="AO50" s="170"/>
      <c r="AP50" s="170"/>
      <c r="AQ50" s="170"/>
      <c r="AR50" s="170"/>
      <c r="AS50" s="170"/>
      <c r="AT50" s="170"/>
      <c r="AU50" s="170"/>
      <c r="AV50" s="170"/>
      <c r="AW50" s="170"/>
      <c r="AX50" s="170"/>
      <c r="AY50" s="170"/>
      <c r="AZ50" s="170"/>
      <c r="BA50" s="32"/>
      <c r="BB50" s="32"/>
    </row>
    <row r="51" spans="1:72">
      <c r="A51">
        <v>11</v>
      </c>
      <c r="B51" s="22" t="str">
        <f t="shared" si="4"/>
        <v>Neurente im Jahr 2036</v>
      </c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0"/>
      <c r="O51" s="170"/>
      <c r="P51" s="170"/>
      <c r="Q51" s="170"/>
      <c r="R51" s="170"/>
      <c r="S51" s="170"/>
      <c r="T51" s="170"/>
      <c r="U51" s="170"/>
      <c r="V51" s="170"/>
      <c r="W51" s="170"/>
      <c r="X51" s="170"/>
      <c r="Y51" s="170"/>
      <c r="Z51" s="170"/>
      <c r="AA51" s="170"/>
      <c r="AB51" s="170"/>
      <c r="AC51" s="170"/>
      <c r="AD51" s="170"/>
      <c r="AE51" s="170"/>
      <c r="AF51" s="170"/>
      <c r="AG51" s="170"/>
      <c r="AH51" s="170"/>
      <c r="AI51" s="170"/>
      <c r="AJ51" s="170"/>
      <c r="AK51" s="170"/>
      <c r="AL51" s="170"/>
      <c r="AM51" s="170"/>
      <c r="AN51" s="170"/>
      <c r="AO51" s="170"/>
      <c r="AP51" s="170"/>
      <c r="AQ51" s="170"/>
      <c r="AR51" s="170"/>
      <c r="AS51" s="170"/>
      <c r="AT51" s="170"/>
      <c r="AU51" s="170"/>
      <c r="AV51" s="170"/>
      <c r="AW51" s="170"/>
      <c r="AX51" s="170"/>
      <c r="AY51" s="170"/>
      <c r="AZ51" s="170"/>
      <c r="BA51" s="32"/>
      <c r="BB51" s="32"/>
    </row>
    <row r="52" spans="1:72">
      <c r="A52">
        <v>12</v>
      </c>
      <c r="B52" s="22" t="str">
        <f t="shared" si="4"/>
        <v>Neurente im Jahr 2037</v>
      </c>
      <c r="C52" s="176"/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170"/>
      <c r="AM52" s="170"/>
      <c r="AN52" s="170"/>
      <c r="AO52" s="170"/>
      <c r="AP52" s="170"/>
      <c r="AQ52" s="170"/>
      <c r="AR52" s="170"/>
      <c r="AS52" s="170"/>
      <c r="AT52" s="170"/>
      <c r="AU52" s="170"/>
      <c r="AV52" s="170"/>
      <c r="AW52" s="170"/>
      <c r="AX52" s="170"/>
      <c r="AY52" s="170"/>
      <c r="AZ52" s="170"/>
      <c r="BA52" s="32"/>
      <c r="BB52" s="32"/>
    </row>
    <row r="53" spans="1:72">
      <c r="A53">
        <v>13</v>
      </c>
      <c r="B53" s="22" t="str">
        <f t="shared" si="4"/>
        <v>Neurente im Jahr 2038</v>
      </c>
      <c r="C53" s="176"/>
      <c r="D53" s="176"/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  <c r="AI53" s="170"/>
      <c r="AJ53" s="170"/>
      <c r="AK53" s="170"/>
      <c r="AL53" s="170"/>
      <c r="AM53" s="170"/>
      <c r="AN53" s="170"/>
      <c r="AO53" s="170"/>
      <c r="AP53" s="170"/>
      <c r="AQ53" s="170"/>
      <c r="AR53" s="170"/>
      <c r="AS53" s="170"/>
      <c r="AT53" s="170"/>
      <c r="AU53" s="170"/>
      <c r="AV53" s="170"/>
      <c r="AW53" s="170"/>
      <c r="AX53" s="170"/>
      <c r="AY53" s="170"/>
      <c r="AZ53" s="170"/>
      <c r="BA53" s="32"/>
      <c r="BB53" s="32"/>
    </row>
    <row r="54" spans="1:72">
      <c r="A54">
        <v>14</v>
      </c>
      <c r="B54" s="22" t="str">
        <f t="shared" si="4"/>
        <v>Neurente im Jahr 2039</v>
      </c>
      <c r="C54" s="177"/>
      <c r="D54" s="178"/>
      <c r="E54" s="178"/>
      <c r="F54" s="177"/>
      <c r="G54" s="178"/>
      <c r="H54" s="177"/>
      <c r="I54" s="178"/>
      <c r="J54" s="177"/>
      <c r="K54" s="178"/>
      <c r="L54" s="177"/>
      <c r="M54" s="178"/>
      <c r="N54" s="178"/>
      <c r="O54" s="177"/>
      <c r="P54" s="177"/>
      <c r="Q54" s="170"/>
      <c r="R54" s="170"/>
      <c r="S54" s="170"/>
      <c r="T54" s="170"/>
      <c r="U54" s="170"/>
      <c r="V54" s="170"/>
      <c r="W54" s="170"/>
      <c r="X54" s="170"/>
      <c r="Y54" s="170"/>
      <c r="Z54" s="170"/>
      <c r="AA54" s="170"/>
      <c r="AB54" s="170"/>
      <c r="AC54" s="170"/>
      <c r="AD54" s="170"/>
      <c r="AE54" s="170"/>
      <c r="AF54" s="170"/>
      <c r="AG54" s="170"/>
      <c r="AH54" s="170"/>
      <c r="AI54" s="170"/>
      <c r="AJ54" s="170"/>
      <c r="AK54" s="170"/>
      <c r="AL54" s="170"/>
      <c r="AM54" s="170"/>
      <c r="AN54" s="170"/>
      <c r="AO54" s="170"/>
      <c r="AP54" s="170"/>
      <c r="AQ54" s="170"/>
      <c r="AR54" s="170"/>
      <c r="AS54" s="170"/>
      <c r="AT54" s="170"/>
      <c r="AU54" s="170"/>
      <c r="AV54" s="170"/>
      <c r="AW54" s="170"/>
      <c r="AX54" s="170"/>
      <c r="AY54" s="170"/>
      <c r="AZ54" s="170"/>
      <c r="BA54" s="32"/>
      <c r="BB54" s="32"/>
    </row>
    <row r="55" spans="1:72">
      <c r="A55">
        <v>15</v>
      </c>
      <c r="B55" s="22" t="str">
        <f t="shared" si="4"/>
        <v>Neurente im Jahr 2040</v>
      </c>
      <c r="C55" s="177"/>
      <c r="D55" s="177"/>
      <c r="E55" s="178"/>
      <c r="F55" s="177"/>
      <c r="G55" s="177"/>
      <c r="H55" s="177"/>
      <c r="I55" s="178"/>
      <c r="J55" s="177"/>
      <c r="K55" s="177"/>
      <c r="L55" s="177"/>
      <c r="M55" s="177"/>
      <c r="N55" s="177"/>
      <c r="O55" s="177"/>
      <c r="P55" s="177"/>
      <c r="Q55" s="177"/>
      <c r="R55" s="170"/>
      <c r="S55" s="170"/>
      <c r="T55" s="170"/>
      <c r="U55" s="170"/>
      <c r="V55" s="170"/>
      <c r="W55" s="170"/>
      <c r="X55" s="170"/>
      <c r="Y55" s="170"/>
      <c r="Z55" s="170"/>
      <c r="AA55" s="170"/>
      <c r="AB55" s="170"/>
      <c r="AC55" s="170"/>
      <c r="AD55" s="170"/>
      <c r="AE55" s="170"/>
      <c r="AF55" s="170"/>
      <c r="AG55" s="170"/>
      <c r="AH55" s="170"/>
      <c r="AI55" s="170"/>
      <c r="AJ55" s="170"/>
      <c r="AK55" s="170"/>
      <c r="AL55" s="170"/>
      <c r="AM55" s="170"/>
      <c r="AN55" s="170"/>
      <c r="AO55" s="170"/>
      <c r="AP55" s="170"/>
      <c r="AQ55" s="170"/>
      <c r="AR55" s="170"/>
      <c r="AS55" s="170"/>
      <c r="AT55" s="170"/>
      <c r="AU55" s="170"/>
      <c r="AV55" s="170"/>
      <c r="AW55" s="170"/>
      <c r="AX55" s="170"/>
      <c r="AY55" s="170"/>
      <c r="AZ55" s="170"/>
      <c r="BA55" s="32"/>
      <c r="BB55" s="32"/>
    </row>
    <row r="56" spans="1:72">
      <c r="A56">
        <v>16</v>
      </c>
      <c r="B56" s="22" t="str">
        <f t="shared" si="4"/>
        <v>Neurente im Jahr 2041</v>
      </c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0"/>
      <c r="T56" s="170"/>
      <c r="U56" s="170"/>
      <c r="V56" s="170"/>
      <c r="W56" s="170"/>
      <c r="X56" s="170"/>
      <c r="Y56" s="170"/>
      <c r="Z56" s="170"/>
      <c r="AA56" s="170"/>
      <c r="AB56" s="170"/>
      <c r="AC56" s="170"/>
      <c r="AD56" s="170"/>
      <c r="AE56" s="170"/>
      <c r="AF56" s="170"/>
      <c r="AG56" s="170"/>
      <c r="AH56" s="170"/>
      <c r="AI56" s="170"/>
      <c r="AJ56" s="170"/>
      <c r="AK56" s="170"/>
      <c r="AL56" s="170"/>
      <c r="AM56" s="170"/>
      <c r="AN56" s="170"/>
      <c r="AO56" s="170"/>
      <c r="AP56" s="170"/>
      <c r="AQ56" s="170"/>
      <c r="AR56" s="170"/>
      <c r="AS56" s="170"/>
      <c r="AT56" s="170"/>
      <c r="AU56" s="170"/>
      <c r="AV56" s="170"/>
      <c r="AW56" s="170"/>
      <c r="AX56" s="170"/>
      <c r="AY56" s="170"/>
      <c r="AZ56" s="170"/>
      <c r="BA56" s="32"/>
      <c r="BB56" s="32"/>
    </row>
    <row r="57" spans="1:72">
      <c r="A57">
        <v>17</v>
      </c>
      <c r="B57" s="22" t="str">
        <f t="shared" si="4"/>
        <v>Neurente im Jahr 2042</v>
      </c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32"/>
      <c r="BB57" s="32"/>
    </row>
    <row r="58" spans="1:72">
      <c r="A58">
        <v>18</v>
      </c>
      <c r="B58" s="22" t="str">
        <f t="shared" si="4"/>
        <v>Neurente im Jahr 2043</v>
      </c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32"/>
      <c r="BB58" s="32"/>
    </row>
    <row r="59" spans="1:72">
      <c r="A59">
        <v>19</v>
      </c>
      <c r="B59" s="22" t="str">
        <f t="shared" si="4"/>
        <v>Neurente im Jahr 2044</v>
      </c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32"/>
      <c r="BB59" s="32"/>
    </row>
    <row r="60" spans="1:72">
      <c r="A60">
        <v>20</v>
      </c>
      <c r="B60" s="22" t="str">
        <f t="shared" si="4"/>
        <v>Neurente im Jahr 2045</v>
      </c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32"/>
      <c r="BB60" s="32"/>
    </row>
    <row r="61" spans="1:72">
      <c r="C61" s="180"/>
      <c r="D61" s="180"/>
      <c r="E61" s="180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80"/>
      <c r="U61" s="180"/>
      <c r="V61" s="180"/>
      <c r="W61" s="180"/>
      <c r="X61" s="180"/>
      <c r="Y61" s="180"/>
      <c r="Z61" s="180"/>
      <c r="AA61" s="180"/>
      <c r="AB61" s="180"/>
      <c r="AC61" s="180"/>
      <c r="AD61" s="180"/>
      <c r="BA61" s="32"/>
      <c r="BB61" s="32"/>
      <c r="BF61" s="84"/>
      <c r="BG61" s="84"/>
      <c r="BH61" s="84"/>
      <c r="BK61" s="84"/>
      <c r="BL61" s="84"/>
      <c r="BM61" s="84"/>
      <c r="BN61" s="84"/>
      <c r="BO61" s="84"/>
      <c r="BS61" s="84"/>
      <c r="BT61" s="84"/>
    </row>
    <row r="62" spans="1:72">
      <c r="BA62" s="32"/>
      <c r="BB62" s="32"/>
      <c r="BN62" s="84"/>
    </row>
    <row r="63" spans="1:72" ht="15">
      <c r="B63" s="4" t="str">
        <f>VLOOKUP("T.03.12", Translation,IF(Language="DE",2,IF(Language="FR",3,4)),FALSE)</f>
        <v>Inkrementelle Zahlungsmuster für restliche Langfristrückstellungen ab dem Jahr 2025 (in %)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BA63" s="32"/>
      <c r="BB63" s="32"/>
    </row>
    <row r="64" spans="1:72">
      <c r="C64" s="37"/>
      <c r="BA64" s="32"/>
      <c r="BB64" s="32"/>
    </row>
    <row r="65" spans="2:55">
      <c r="B65" s="19"/>
      <c r="C65" s="19" t="str">
        <f>VLOOKUP("T.03.25", Translation,IF(Language="DE",2,IF(Language="FR",3,4)),FALSE)</f>
        <v>Auszahlungsjahr</v>
      </c>
      <c r="D65" s="76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32"/>
      <c r="BB65" s="32"/>
      <c r="BC65" s="78"/>
    </row>
    <row r="66" spans="2:55">
      <c r="B66" s="19"/>
      <c r="C66" s="106">
        <f>C39</f>
        <v>2025</v>
      </c>
      <c r="D66" s="106">
        <f t="shared" ref="D66:AZ66" si="5">D39</f>
        <v>2026</v>
      </c>
      <c r="E66" s="106">
        <f t="shared" si="5"/>
        <v>2027</v>
      </c>
      <c r="F66" s="106">
        <f t="shared" si="5"/>
        <v>2028</v>
      </c>
      <c r="G66" s="106">
        <f t="shared" si="5"/>
        <v>2029</v>
      </c>
      <c r="H66" s="106">
        <f t="shared" si="5"/>
        <v>2030</v>
      </c>
      <c r="I66" s="106">
        <f t="shared" si="5"/>
        <v>2031</v>
      </c>
      <c r="J66" s="106">
        <f t="shared" si="5"/>
        <v>2032</v>
      </c>
      <c r="K66" s="106">
        <f t="shared" si="5"/>
        <v>2033</v>
      </c>
      <c r="L66" s="106">
        <f t="shared" si="5"/>
        <v>2034</v>
      </c>
      <c r="M66" s="106">
        <f t="shared" si="5"/>
        <v>2035</v>
      </c>
      <c r="N66" s="106">
        <f t="shared" si="5"/>
        <v>2036</v>
      </c>
      <c r="O66" s="106">
        <f t="shared" si="5"/>
        <v>2037</v>
      </c>
      <c r="P66" s="106">
        <f t="shared" si="5"/>
        <v>2038</v>
      </c>
      <c r="Q66" s="106">
        <f t="shared" si="5"/>
        <v>2039</v>
      </c>
      <c r="R66" s="106">
        <f t="shared" si="5"/>
        <v>2040</v>
      </c>
      <c r="S66" s="106">
        <f t="shared" si="5"/>
        <v>2041</v>
      </c>
      <c r="T66" s="106">
        <f t="shared" si="5"/>
        <v>2042</v>
      </c>
      <c r="U66" s="106">
        <f t="shared" si="5"/>
        <v>2043</v>
      </c>
      <c r="V66" s="106">
        <f t="shared" si="5"/>
        <v>2044</v>
      </c>
      <c r="W66" s="106">
        <f t="shared" si="5"/>
        <v>2045</v>
      </c>
      <c r="X66" s="106">
        <f t="shared" si="5"/>
        <v>2046</v>
      </c>
      <c r="Y66" s="106">
        <f t="shared" si="5"/>
        <v>2047</v>
      </c>
      <c r="Z66" s="106">
        <f t="shared" si="5"/>
        <v>2048</v>
      </c>
      <c r="AA66" s="106">
        <f t="shared" si="5"/>
        <v>2049</v>
      </c>
      <c r="AB66" s="106">
        <f t="shared" si="5"/>
        <v>2050</v>
      </c>
      <c r="AC66" s="106">
        <f t="shared" si="5"/>
        <v>2051</v>
      </c>
      <c r="AD66" s="106">
        <f t="shared" si="5"/>
        <v>2052</v>
      </c>
      <c r="AE66" s="106">
        <f t="shared" si="5"/>
        <v>2053</v>
      </c>
      <c r="AF66" s="106">
        <f t="shared" si="5"/>
        <v>2054</v>
      </c>
      <c r="AG66" s="106">
        <f t="shared" si="5"/>
        <v>2055</v>
      </c>
      <c r="AH66" s="106">
        <f t="shared" si="5"/>
        <v>2056</v>
      </c>
      <c r="AI66" s="106">
        <f t="shared" si="5"/>
        <v>2057</v>
      </c>
      <c r="AJ66" s="106">
        <f t="shared" si="5"/>
        <v>2058</v>
      </c>
      <c r="AK66" s="106">
        <f t="shared" si="5"/>
        <v>2059</v>
      </c>
      <c r="AL66" s="106">
        <f t="shared" si="5"/>
        <v>2060</v>
      </c>
      <c r="AM66" s="106">
        <f t="shared" si="5"/>
        <v>2061</v>
      </c>
      <c r="AN66" s="106">
        <f t="shared" si="5"/>
        <v>2062</v>
      </c>
      <c r="AO66" s="106">
        <f t="shared" si="5"/>
        <v>2063</v>
      </c>
      <c r="AP66" s="106">
        <f t="shared" si="5"/>
        <v>2064</v>
      </c>
      <c r="AQ66" s="106">
        <f t="shared" si="5"/>
        <v>2065</v>
      </c>
      <c r="AR66" s="106">
        <f t="shared" si="5"/>
        <v>2066</v>
      </c>
      <c r="AS66" s="106">
        <f t="shared" si="5"/>
        <v>2067</v>
      </c>
      <c r="AT66" s="106">
        <f t="shared" si="5"/>
        <v>2068</v>
      </c>
      <c r="AU66" s="106">
        <f t="shared" si="5"/>
        <v>2069</v>
      </c>
      <c r="AV66" s="106">
        <f t="shared" si="5"/>
        <v>2070</v>
      </c>
      <c r="AW66" s="106">
        <f t="shared" si="5"/>
        <v>2071</v>
      </c>
      <c r="AX66" s="106">
        <f t="shared" si="5"/>
        <v>2072</v>
      </c>
      <c r="AY66" s="106">
        <f t="shared" si="5"/>
        <v>2073</v>
      </c>
      <c r="AZ66" s="106">
        <f t="shared" si="5"/>
        <v>2074</v>
      </c>
      <c r="BA66" s="32"/>
      <c r="BB66" s="32"/>
    </row>
    <row r="67" spans="2:55">
      <c r="B67" s="22" t="str">
        <f>VLOOKUP("T.03.19", Translation,IF(Language="DE",2,IF(Language="FR",3,4)),FALSE)</f>
        <v>Übrige Schadenrückstellung für Langfristleistungen</v>
      </c>
      <c r="C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32"/>
      <c r="BB67" s="32"/>
    </row>
    <row r="68" spans="2:55">
      <c r="BA68" s="32"/>
      <c r="BB68" s="32"/>
    </row>
    <row r="73" spans="2:55">
      <c r="D73" s="179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7FCC2-681D-4FD2-ABEB-46352DA9A6F3}">
  <sheetPr>
    <tabColor rgb="FF00539E"/>
  </sheetPr>
  <dimension ref="A1:BF78"/>
  <sheetViews>
    <sheetView showGridLines="0" zoomScale="90" zoomScaleNormal="90" workbookViewId="0">
      <selection activeCell="C46" sqref="C46"/>
    </sheetView>
  </sheetViews>
  <sheetFormatPr defaultColWidth="9.140625" defaultRowHeight="12.75"/>
  <cols>
    <col min="1" max="1" width="4.5703125" customWidth="1"/>
    <col min="2" max="2" width="75.5703125" customWidth="1"/>
    <col min="3" max="3" width="27" customWidth="1"/>
    <col min="4" max="4" width="18.85546875" customWidth="1"/>
    <col min="5" max="5" width="20.7109375" customWidth="1"/>
    <col min="6" max="6" width="13.42578125" customWidth="1"/>
    <col min="7" max="52" width="11.85546875" customWidth="1"/>
  </cols>
  <sheetData>
    <row r="1" spans="1:14" s="3" customFormat="1" ht="20.100000000000001" customHeight="1">
      <c r="A1" s="134">
        <v>5</v>
      </c>
      <c r="B1" s="2" t="str">
        <f>VLOOKUP("T.04.1", Translation,IF(Language="DE",2,IF(Language="FR",3,4)),FALSE)</f>
        <v>Bewertung der UVG-Verpflichtungen am t=0</v>
      </c>
    </row>
    <row r="3" spans="1:14" ht="14.25">
      <c r="B3" s="4" t="str">
        <f>VLOOKUP("T.03.2", Translation,IF(Language="DE",2,IF(Language="FR",3,4)),FALSE)</f>
        <v>Stichtag</v>
      </c>
      <c r="C3" s="138" t="str">
        <f>"01.01."&amp;current_year</f>
        <v>01.01.2025</v>
      </c>
    </row>
    <row r="5" spans="1:14" ht="15">
      <c r="B5" s="4" t="str">
        <f>VLOOKUP("T.04.2", Translation,IF(Language="DE",2,IF(Language="FR",3,4)),FALSE)</f>
        <v>Best Estimate Werte am 1.01.2025 (in Mio. CHF)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B6" s="16"/>
    </row>
    <row r="7" spans="1:14" ht="40.5" customHeight="1">
      <c r="B7" s="141" t="str">
        <f>VLOOKUP("T.03.20", Translation,IF(Language="DE",2,IF(Language="FR",3,4)),FALSE)</f>
        <v xml:space="preserve">Verpflichtungen des UVG-Bestandes </v>
      </c>
      <c r="C7" s="153" t="str">
        <f>VLOOKUP("T.04.4", Translation,IF(Language="DE",2,IF(Language="FR",3,4)),FALSE)</f>
        <v>diskontiert</v>
      </c>
      <c r="D7" s="153" t="str">
        <f>VLOOKUP("T.04.3", Translation,IF(Language="DE",2,IF(Language="FR",3,4)),FALSE)</f>
        <v>Barwertfaktor</v>
      </c>
      <c r="E7" s="153" t="str">
        <f>VLOOKUP("T.04.5", Translation,IF(Language="DE",2,IF(Language="FR",3,4)),FALSE)</f>
        <v>nicht diskontiert</v>
      </c>
    </row>
    <row r="8" spans="1:14">
      <c r="B8" s="18" t="str">
        <f>VLOOKUP("T.03.4", Translation,IF(Language="DE",2,IF(Language="FR",3,4)),FALSE)</f>
        <v>Best Estimate-Wert der Grundrente</v>
      </c>
      <c r="C8" s="188">
        <f>E8*D8</f>
        <v>0</v>
      </c>
      <c r="D8" s="192">
        <f>SUMPRODUCT(UVG_Input_Data!C23:AZ23,Inputparam!$C$12:$AZ$12)</f>
        <v>0</v>
      </c>
      <c r="E8" s="188">
        <f>UVG_Input_Data!D10</f>
        <v>0</v>
      </c>
    </row>
    <row r="9" spans="1:14">
      <c r="B9" s="18" t="str">
        <f>VLOOKUP("T.03.5", Translation,IF(Language="DE",2,IF(Language="FR",3,4)),FALSE)</f>
        <v>Schadenrückstellung für Langfristleistungen</v>
      </c>
      <c r="C9" s="188">
        <f t="shared" ref="C9:C11" si="0">E9*D9</f>
        <v>0</v>
      </c>
      <c r="D9" s="192">
        <f>SUMPRODUCT(UVG_Input_Data!C25:AZ25,Inputparam!$C$12:$AZ$12)</f>
        <v>0</v>
      </c>
      <c r="E9" s="188">
        <f>UVG_Input_Data!D11</f>
        <v>0</v>
      </c>
      <c r="F9" s="97"/>
      <c r="G9" s="98"/>
    </row>
    <row r="10" spans="1:14">
      <c r="B10" s="18" t="str">
        <f>VLOOKUP("T.03.6", Translation,IF(Language="DE",2,IF(Language="FR",3,4)),FALSE)</f>
        <v>Schadenrückstellung für Kurzfristleistungen</v>
      </c>
      <c r="C10" s="188">
        <f t="shared" si="0"/>
        <v>0</v>
      </c>
      <c r="D10" s="192">
        <f>SUMPRODUCT(UVG_Input_Data!C26:AZ26,Inputparam!$C$12:$AZ$12)</f>
        <v>0</v>
      </c>
      <c r="E10" s="188">
        <f>UVG_Input_Data!D14</f>
        <v>0</v>
      </c>
    </row>
    <row r="11" spans="1:14">
      <c r="B11" s="18" t="str">
        <f>VLOOKUP("T.03.27", Translation,IF(Language="DE",2,IF(Language="FR",3,4)),FALSE)</f>
        <v>ULAE Rückstellungen</v>
      </c>
      <c r="C11" s="188">
        <f t="shared" si="0"/>
        <v>0</v>
      </c>
      <c r="D11" s="192">
        <f>SUMPRODUCT(UVG_Input_Data!C27:AZ27,Inputparam!$C$12:$AZ$12)</f>
        <v>0</v>
      </c>
      <c r="E11" s="188">
        <f>UVG_Input_Data!D15</f>
        <v>0</v>
      </c>
    </row>
    <row r="12" spans="1:14">
      <c r="B12" s="18" t="str">
        <f>VLOOKUP("T.04.6", Translation,IF(Language="DE",2,IF(Language="FR",3,4)),FALSE)</f>
        <v>Best Estimate-Wert der Teuerungszulagen</v>
      </c>
      <c r="C12" s="190">
        <f>E12 *D12</f>
        <v>0</v>
      </c>
      <c r="D12" s="193">
        <f>IF(E12=0,0,SUMPRODUCT(C27:AZ27,Inputparam!$C$12:$AZ$12)/E12)</f>
        <v>0</v>
      </c>
      <c r="E12" s="188">
        <f>SUM(C27:AZ27)</f>
        <v>0</v>
      </c>
    </row>
    <row r="13" spans="1:14">
      <c r="B13" s="202" t="str">
        <f>VLOOKUP("T.04.28", Translation,IF(Language="DE",2,IF(Language="FR",3,4)),FALSE)</f>
        <v>eigenfinanziert</v>
      </c>
      <c r="C13" s="191">
        <f ca="1">C12-C14</f>
        <v>0</v>
      </c>
      <c r="D13" s="189"/>
      <c r="E13" s="189"/>
    </row>
    <row r="14" spans="1:14">
      <c r="B14" s="215" t="str">
        <f>VLOOKUP("T.04.29", Translation,IF(Language="DE",2,IF(Language="FR",3,4)),FALSE)</f>
        <v>finanziert durch eingehende Umlagebeitäge und Ausgleichszahlungen</v>
      </c>
      <c r="C14" s="191">
        <f ca="1">-C16</f>
        <v>0</v>
      </c>
      <c r="D14" s="194"/>
      <c r="E14" s="189"/>
    </row>
    <row r="15" spans="1:14">
      <c r="B15" s="87" t="str">
        <f>VLOOKUP("T.04.30", Translation,IF(Language="DE",2,IF(Language="FR",3,4)),FALSE)</f>
        <v>Best Estimate-Wert der Umlagebeiträge</v>
      </c>
      <c r="C15" s="216">
        <f>E15 *D15</f>
        <v>0</v>
      </c>
      <c r="D15" s="217">
        <f>IF(E15=0,0,- ABS(SUMPRODUCT(C38:AZ38,Inputparam!$C$12:$AZ$12))/E15)</f>
        <v>0</v>
      </c>
      <c r="E15" s="218">
        <f xml:space="preserve"> SUM(C38:AZ38)</f>
        <v>0</v>
      </c>
      <c r="G15" s="189"/>
    </row>
    <row r="16" spans="1:14">
      <c r="B16" s="18" t="str">
        <f>VLOOKUP("T.04.27", Translation,IF(Language="DE",2,IF(Language="FR",3,4)),FALSE)</f>
        <v>Best Estimate-Wert der Ausgleichszahlungen</v>
      </c>
      <c r="C16" s="190">
        <f ca="1">E16 *D16</f>
        <v>0</v>
      </c>
      <c r="D16" s="193">
        <f ca="1">IF(E16=0,0,SUMPRODUCT(C39:AZ39,Inputparam!$C$12:$AZ$12)/E16)</f>
        <v>0</v>
      </c>
      <c r="E16" s="188">
        <f ca="1">SUM(C39:AZ39)</f>
        <v>0</v>
      </c>
    </row>
    <row r="17" spans="2:58">
      <c r="B17" s="18" t="str">
        <f>VLOOKUP("T.04.7", Translation,IF(Language="DE",2,IF(Language="FR",3,4)),FALSE)</f>
        <v>Barwert des Teuerungsfonds am Ende der Abwicklung</v>
      </c>
      <c r="C17" s="188">
        <f ca="1">E17 * D17</f>
        <v>0</v>
      </c>
      <c r="D17" s="192">
        <f>Inputparam!AZ12</f>
        <v>0.70496895585018027</v>
      </c>
      <c r="E17" s="188">
        <f ca="1">AZ40</f>
        <v>0</v>
      </c>
    </row>
    <row r="18" spans="2:58">
      <c r="B18" s="111" t="str">
        <f>VLOOKUP("T.04.8", Translation,IF(Language="DE",2,IF(Language="FR",3,4)),FALSE)</f>
        <v>Total UVG-Verpflichtungen</v>
      </c>
      <c r="C18" s="200">
        <f ca="1">SUM(C8:C12,C15:C17)</f>
        <v>0</v>
      </c>
      <c r="D18" s="14"/>
    </row>
    <row r="21" spans="2:58" ht="15">
      <c r="B21" s="4" t="str">
        <f>VLOOKUP("T.04.23", Translation,IF(Language="DE",2,IF(Language="FR",3,4)),FALSE)</f>
        <v>Inkrementelle Zahlungsflüsse (in Mio. CHF; jeweils am Ende des Jahres)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2:58" ht="15">
      <c r="B22" s="29"/>
      <c r="C22" s="30" t="str">
        <f>_end&amp; current_year +C23-1</f>
        <v>Ende 2025</v>
      </c>
      <c r="D22" s="30" t="str">
        <f>_end&amp; current_year +D23-1</f>
        <v>Ende 2026</v>
      </c>
      <c r="E22" s="30" t="str">
        <f>_end&amp; current_year +E23-1</f>
        <v>Ende 2027</v>
      </c>
      <c r="F22" s="30" t="str">
        <f>_end&amp; current_year +F23-1</f>
        <v>Ende 2028</v>
      </c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 t="str">
        <f>_end &amp; current_year+AZ23-1</f>
        <v>Ende 2074</v>
      </c>
    </row>
    <row r="23" spans="2:58" s="27" customFormat="1" ht="12.75" customHeight="1">
      <c r="B23" s="28"/>
      <c r="C23" s="85">
        <v>1</v>
      </c>
      <c r="D23" s="85">
        <f>C23+1</f>
        <v>2</v>
      </c>
      <c r="E23" s="85">
        <f t="shared" ref="E23:AZ23" si="1">D23+1</f>
        <v>3</v>
      </c>
      <c r="F23" s="85">
        <f t="shared" si="1"/>
        <v>4</v>
      </c>
      <c r="G23" s="85">
        <f t="shared" si="1"/>
        <v>5</v>
      </c>
      <c r="H23" s="85">
        <f t="shared" si="1"/>
        <v>6</v>
      </c>
      <c r="I23" s="85">
        <f t="shared" si="1"/>
        <v>7</v>
      </c>
      <c r="J23" s="85">
        <f t="shared" si="1"/>
        <v>8</v>
      </c>
      <c r="K23" s="85">
        <f t="shared" si="1"/>
        <v>9</v>
      </c>
      <c r="L23" s="85">
        <f t="shared" si="1"/>
        <v>10</v>
      </c>
      <c r="M23" s="85">
        <f t="shared" si="1"/>
        <v>11</v>
      </c>
      <c r="N23" s="85">
        <f t="shared" si="1"/>
        <v>12</v>
      </c>
      <c r="O23" s="85">
        <f t="shared" si="1"/>
        <v>13</v>
      </c>
      <c r="P23" s="85">
        <f t="shared" si="1"/>
        <v>14</v>
      </c>
      <c r="Q23" s="85">
        <f t="shared" si="1"/>
        <v>15</v>
      </c>
      <c r="R23" s="85">
        <f t="shared" si="1"/>
        <v>16</v>
      </c>
      <c r="S23" s="85">
        <f t="shared" si="1"/>
        <v>17</v>
      </c>
      <c r="T23" s="85">
        <f t="shared" si="1"/>
        <v>18</v>
      </c>
      <c r="U23" s="85">
        <f t="shared" si="1"/>
        <v>19</v>
      </c>
      <c r="V23" s="85">
        <f t="shared" si="1"/>
        <v>20</v>
      </c>
      <c r="W23" s="85">
        <f t="shared" si="1"/>
        <v>21</v>
      </c>
      <c r="X23" s="85">
        <f t="shared" si="1"/>
        <v>22</v>
      </c>
      <c r="Y23" s="85">
        <f t="shared" si="1"/>
        <v>23</v>
      </c>
      <c r="Z23" s="85">
        <f t="shared" si="1"/>
        <v>24</v>
      </c>
      <c r="AA23" s="85">
        <f t="shared" si="1"/>
        <v>25</v>
      </c>
      <c r="AB23" s="85">
        <f t="shared" si="1"/>
        <v>26</v>
      </c>
      <c r="AC23" s="85">
        <f t="shared" si="1"/>
        <v>27</v>
      </c>
      <c r="AD23" s="85">
        <f t="shared" si="1"/>
        <v>28</v>
      </c>
      <c r="AE23" s="85">
        <f t="shared" si="1"/>
        <v>29</v>
      </c>
      <c r="AF23" s="85">
        <f t="shared" si="1"/>
        <v>30</v>
      </c>
      <c r="AG23" s="85">
        <f t="shared" si="1"/>
        <v>31</v>
      </c>
      <c r="AH23" s="85">
        <f t="shared" si="1"/>
        <v>32</v>
      </c>
      <c r="AI23" s="85">
        <f t="shared" si="1"/>
        <v>33</v>
      </c>
      <c r="AJ23" s="85">
        <f t="shared" si="1"/>
        <v>34</v>
      </c>
      <c r="AK23" s="85">
        <f t="shared" si="1"/>
        <v>35</v>
      </c>
      <c r="AL23" s="85">
        <f t="shared" si="1"/>
        <v>36</v>
      </c>
      <c r="AM23" s="85">
        <f t="shared" si="1"/>
        <v>37</v>
      </c>
      <c r="AN23" s="85">
        <f t="shared" si="1"/>
        <v>38</v>
      </c>
      <c r="AO23" s="85">
        <f t="shared" si="1"/>
        <v>39</v>
      </c>
      <c r="AP23" s="85">
        <f t="shared" si="1"/>
        <v>40</v>
      </c>
      <c r="AQ23" s="85">
        <f t="shared" si="1"/>
        <v>41</v>
      </c>
      <c r="AR23" s="85">
        <f t="shared" si="1"/>
        <v>42</v>
      </c>
      <c r="AS23" s="85">
        <f t="shared" si="1"/>
        <v>43</v>
      </c>
      <c r="AT23" s="85">
        <f t="shared" si="1"/>
        <v>44</v>
      </c>
      <c r="AU23" s="85">
        <f t="shared" si="1"/>
        <v>45</v>
      </c>
      <c r="AV23" s="85">
        <f t="shared" si="1"/>
        <v>46</v>
      </c>
      <c r="AW23" s="85">
        <f t="shared" si="1"/>
        <v>47</v>
      </c>
      <c r="AX23" s="85">
        <f t="shared" si="1"/>
        <v>48</v>
      </c>
      <c r="AY23" s="85">
        <f t="shared" si="1"/>
        <v>49</v>
      </c>
      <c r="AZ23" s="85">
        <f t="shared" si="1"/>
        <v>50</v>
      </c>
      <c r="BA23" s="86"/>
      <c r="BB23" s="86"/>
      <c r="BC23" s="86"/>
      <c r="BD23" s="86"/>
      <c r="BE23" s="86"/>
      <c r="BF23" s="86"/>
    </row>
    <row r="24" spans="2:58" s="27" customFormat="1" ht="12.75" customHeight="1">
      <c r="B24" s="87" t="str">
        <f>VLOOKUP("T.04.9", Translation,IF(Language="DE",2,IF(Language="FR",3,4)),FALSE)</f>
        <v>Zahlungen für am 1.01.2025 bestehende Renten</v>
      </c>
      <c r="C24" s="88">
        <f>UVG_Input_Data!$D$10 * UVG_Input_Data!C23</f>
        <v>0</v>
      </c>
      <c r="D24" s="88">
        <f>UVG_Input_Data!$D$10 * UVG_Input_Data!D23</f>
        <v>0</v>
      </c>
      <c r="E24" s="88">
        <f>UVG_Input_Data!$D$10 * UVG_Input_Data!E23</f>
        <v>0</v>
      </c>
      <c r="F24" s="88">
        <f>UVG_Input_Data!$D$10 * UVG_Input_Data!F23</f>
        <v>0</v>
      </c>
      <c r="G24" s="88">
        <f>UVG_Input_Data!$D$10 * UVG_Input_Data!G23</f>
        <v>0</v>
      </c>
      <c r="H24" s="88">
        <f>UVG_Input_Data!$D$10 * UVG_Input_Data!H23</f>
        <v>0</v>
      </c>
      <c r="I24" s="88">
        <f>UVG_Input_Data!$D$10 * UVG_Input_Data!I23</f>
        <v>0</v>
      </c>
      <c r="J24" s="88">
        <f>UVG_Input_Data!$D$10 * UVG_Input_Data!J23</f>
        <v>0</v>
      </c>
      <c r="K24" s="88">
        <f>UVG_Input_Data!$D$10 * UVG_Input_Data!K23</f>
        <v>0</v>
      </c>
      <c r="L24" s="88">
        <f>UVG_Input_Data!$D$10 * UVG_Input_Data!L23</f>
        <v>0</v>
      </c>
      <c r="M24" s="88">
        <f>UVG_Input_Data!$D$10 * UVG_Input_Data!M23</f>
        <v>0</v>
      </c>
      <c r="N24" s="88">
        <f>UVG_Input_Data!$D$10 * UVG_Input_Data!N23</f>
        <v>0</v>
      </c>
      <c r="O24" s="88">
        <f>UVG_Input_Data!$D$10 * UVG_Input_Data!O23</f>
        <v>0</v>
      </c>
      <c r="P24" s="88">
        <f>UVG_Input_Data!$D$10 * UVG_Input_Data!P23</f>
        <v>0</v>
      </c>
      <c r="Q24" s="88">
        <f>UVG_Input_Data!$D$10 * UVG_Input_Data!Q23</f>
        <v>0</v>
      </c>
      <c r="R24" s="88">
        <f>UVG_Input_Data!$D$10 * UVG_Input_Data!R23</f>
        <v>0</v>
      </c>
      <c r="S24" s="88">
        <f>UVG_Input_Data!$D$10 * UVG_Input_Data!S23</f>
        <v>0</v>
      </c>
      <c r="T24" s="88">
        <f>UVG_Input_Data!$D$10 * UVG_Input_Data!T23</f>
        <v>0</v>
      </c>
      <c r="U24" s="88">
        <f>UVG_Input_Data!$D$10 * UVG_Input_Data!U23</f>
        <v>0</v>
      </c>
      <c r="V24" s="88">
        <f>UVG_Input_Data!$D$10 * UVG_Input_Data!V23</f>
        <v>0</v>
      </c>
      <c r="W24" s="88">
        <f>UVG_Input_Data!$D$10 * UVG_Input_Data!W23</f>
        <v>0</v>
      </c>
      <c r="X24" s="88">
        <f>UVG_Input_Data!$D$10 * UVG_Input_Data!X23</f>
        <v>0</v>
      </c>
      <c r="Y24" s="88">
        <f>UVG_Input_Data!$D$10 * UVG_Input_Data!Y23</f>
        <v>0</v>
      </c>
      <c r="Z24" s="88">
        <f>UVG_Input_Data!$D$10 * UVG_Input_Data!Z23</f>
        <v>0</v>
      </c>
      <c r="AA24" s="88">
        <f>UVG_Input_Data!$D$10 * UVG_Input_Data!AA23</f>
        <v>0</v>
      </c>
      <c r="AB24" s="88">
        <f>UVG_Input_Data!$D$10 * UVG_Input_Data!AB23</f>
        <v>0</v>
      </c>
      <c r="AC24" s="88">
        <f>UVG_Input_Data!$D$10 * UVG_Input_Data!AC23</f>
        <v>0</v>
      </c>
      <c r="AD24" s="88">
        <f>UVG_Input_Data!$D$10 * UVG_Input_Data!AD23</f>
        <v>0</v>
      </c>
      <c r="AE24" s="88">
        <f>UVG_Input_Data!$D$10 * UVG_Input_Data!AE23</f>
        <v>0</v>
      </c>
      <c r="AF24" s="88">
        <f>UVG_Input_Data!$D$10 * UVG_Input_Data!AF23</f>
        <v>0</v>
      </c>
      <c r="AG24" s="88">
        <f>UVG_Input_Data!$D$10 * UVG_Input_Data!AG23</f>
        <v>0</v>
      </c>
      <c r="AH24" s="88">
        <f>UVG_Input_Data!$D$10 * UVG_Input_Data!AH23</f>
        <v>0</v>
      </c>
      <c r="AI24" s="88">
        <f>UVG_Input_Data!$D$10 * UVG_Input_Data!AI23</f>
        <v>0</v>
      </c>
      <c r="AJ24" s="88">
        <f>UVG_Input_Data!$D$10 * UVG_Input_Data!AJ23</f>
        <v>0</v>
      </c>
      <c r="AK24" s="88">
        <f>UVG_Input_Data!$D$10 * UVG_Input_Data!AK23</f>
        <v>0</v>
      </c>
      <c r="AL24" s="88">
        <f>UVG_Input_Data!$D$10 * UVG_Input_Data!AL23</f>
        <v>0</v>
      </c>
      <c r="AM24" s="88">
        <f>UVG_Input_Data!$D$10 * UVG_Input_Data!AM23</f>
        <v>0</v>
      </c>
      <c r="AN24" s="88">
        <f>UVG_Input_Data!$D$10 * UVG_Input_Data!AN23</f>
        <v>0</v>
      </c>
      <c r="AO24" s="88">
        <f>UVG_Input_Data!$D$10 * UVG_Input_Data!AO23</f>
        <v>0</v>
      </c>
      <c r="AP24" s="88">
        <f>UVG_Input_Data!$D$10 * UVG_Input_Data!AP23</f>
        <v>0</v>
      </c>
      <c r="AQ24" s="88">
        <f>UVG_Input_Data!$D$10 * UVG_Input_Data!AQ23</f>
        <v>0</v>
      </c>
      <c r="AR24" s="88">
        <f>UVG_Input_Data!$D$10 * UVG_Input_Data!AR23</f>
        <v>0</v>
      </c>
      <c r="AS24" s="88">
        <f>UVG_Input_Data!$D$10 * UVG_Input_Data!AS23</f>
        <v>0</v>
      </c>
      <c r="AT24" s="88">
        <f>UVG_Input_Data!$D$10 * UVG_Input_Data!AT23</f>
        <v>0</v>
      </c>
      <c r="AU24" s="88">
        <f>UVG_Input_Data!$D$10 * UVG_Input_Data!AU23</f>
        <v>0</v>
      </c>
      <c r="AV24" s="88">
        <f>UVG_Input_Data!$D$10 * UVG_Input_Data!AV23</f>
        <v>0</v>
      </c>
      <c r="AW24" s="88">
        <f>UVG_Input_Data!$D$10 * UVG_Input_Data!AW23</f>
        <v>0</v>
      </c>
      <c r="AX24" s="88">
        <f>UVG_Input_Data!$D$10 * UVG_Input_Data!AX23</f>
        <v>0</v>
      </c>
      <c r="AY24" s="88">
        <f>UVG_Input_Data!$D$10 * UVG_Input_Data!AY23</f>
        <v>0</v>
      </c>
      <c r="AZ24" s="88">
        <f>UVG_Input_Data!$D$10 * UVG_Input_Data!AZ23</f>
        <v>0</v>
      </c>
      <c r="BA24" s="86"/>
      <c r="BB24" s="86"/>
      <c r="BC24" s="86"/>
      <c r="BD24" s="86"/>
      <c r="BE24" s="86"/>
      <c r="BF24" s="86"/>
    </row>
    <row r="25" spans="2:58" s="27" customFormat="1" ht="12.75" customHeight="1">
      <c r="B25" s="87" t="str">
        <f>VLOOKUP("T.04.10", Translation,IF(Language="DE",2,IF(Language="FR",3,4)),FALSE)</f>
        <v>Zahlungen für neue Renten ab 1.01.2025</v>
      </c>
      <c r="C25" s="88">
        <f>SUM(UVG_Input_Data!C40:C60)</f>
        <v>0</v>
      </c>
      <c r="D25" s="88">
        <f>SUM(UVG_Input_Data!D40:D60)</f>
        <v>0</v>
      </c>
      <c r="E25" s="88">
        <f>SUM(UVG_Input_Data!E40:E60)</f>
        <v>0</v>
      </c>
      <c r="F25" s="88">
        <f>SUM(UVG_Input_Data!F40:F60)</f>
        <v>0</v>
      </c>
      <c r="G25" s="88">
        <f>SUM(UVG_Input_Data!G40:G60)</f>
        <v>0</v>
      </c>
      <c r="H25" s="88">
        <f>SUM(UVG_Input_Data!H40:H60)</f>
        <v>0</v>
      </c>
      <c r="I25" s="88">
        <f>SUM(UVG_Input_Data!I40:I60)</f>
        <v>0</v>
      </c>
      <c r="J25" s="88">
        <f>SUM(UVG_Input_Data!J40:J60)</f>
        <v>0</v>
      </c>
      <c r="K25" s="88">
        <f>SUM(UVG_Input_Data!K40:K60)</f>
        <v>0</v>
      </c>
      <c r="L25" s="88">
        <f>SUM(UVG_Input_Data!L40:L60)</f>
        <v>0</v>
      </c>
      <c r="M25" s="88">
        <f>SUM(UVG_Input_Data!M40:M60)</f>
        <v>0</v>
      </c>
      <c r="N25" s="88">
        <f>SUM(UVG_Input_Data!N40:N60)</f>
        <v>0</v>
      </c>
      <c r="O25" s="88">
        <f>SUM(UVG_Input_Data!O40:O60)</f>
        <v>0</v>
      </c>
      <c r="P25" s="88">
        <f>SUM(UVG_Input_Data!P40:P60)</f>
        <v>0</v>
      </c>
      <c r="Q25" s="88">
        <f>SUM(UVG_Input_Data!Q40:Q60)</f>
        <v>0</v>
      </c>
      <c r="R25" s="88">
        <f>SUM(UVG_Input_Data!R40:R60)</f>
        <v>0</v>
      </c>
      <c r="S25" s="88">
        <f>SUM(UVG_Input_Data!S40:S60)</f>
        <v>0</v>
      </c>
      <c r="T25" s="88">
        <f>SUM(UVG_Input_Data!T40:T60)</f>
        <v>0</v>
      </c>
      <c r="U25" s="88">
        <f>SUM(UVG_Input_Data!U40:U60)</f>
        <v>0</v>
      </c>
      <c r="V25" s="88">
        <f>SUM(UVG_Input_Data!V40:V60)</f>
        <v>0</v>
      </c>
      <c r="W25" s="88">
        <f>SUM(UVG_Input_Data!W40:W60)</f>
        <v>0</v>
      </c>
      <c r="X25" s="88">
        <f>SUM(UVG_Input_Data!X40:X60)</f>
        <v>0</v>
      </c>
      <c r="Y25" s="88">
        <f>SUM(UVG_Input_Data!Y40:Y60)</f>
        <v>0</v>
      </c>
      <c r="Z25" s="88">
        <f>SUM(UVG_Input_Data!Z40:Z60)</f>
        <v>0</v>
      </c>
      <c r="AA25" s="88">
        <f>SUM(UVG_Input_Data!AA40:AA60)</f>
        <v>0</v>
      </c>
      <c r="AB25" s="88">
        <f>SUM(UVG_Input_Data!AB40:AB60)</f>
        <v>0</v>
      </c>
      <c r="AC25" s="88">
        <f>SUM(UVG_Input_Data!AC40:AC60)</f>
        <v>0</v>
      </c>
      <c r="AD25" s="88">
        <f>SUM(UVG_Input_Data!AD40:AD60)</f>
        <v>0</v>
      </c>
      <c r="AE25" s="88">
        <f>SUM(UVG_Input_Data!AE40:AE60)</f>
        <v>0</v>
      </c>
      <c r="AF25" s="88">
        <f>SUM(UVG_Input_Data!AF40:AF60)</f>
        <v>0</v>
      </c>
      <c r="AG25" s="88">
        <f>SUM(UVG_Input_Data!AG40:AG60)</f>
        <v>0</v>
      </c>
      <c r="AH25" s="88">
        <f>SUM(UVG_Input_Data!AH40:AH60)</f>
        <v>0</v>
      </c>
      <c r="AI25" s="88">
        <f>SUM(UVG_Input_Data!AI40:AI60)</f>
        <v>0</v>
      </c>
      <c r="AJ25" s="88">
        <f>SUM(UVG_Input_Data!AJ40:AJ60)</f>
        <v>0</v>
      </c>
      <c r="AK25" s="88">
        <f>SUM(UVG_Input_Data!AK40:AK60)</f>
        <v>0</v>
      </c>
      <c r="AL25" s="88">
        <f>SUM(UVG_Input_Data!AL40:AL60)</f>
        <v>0</v>
      </c>
      <c r="AM25" s="88">
        <f>SUM(UVG_Input_Data!AM40:AM60)</f>
        <v>0</v>
      </c>
      <c r="AN25" s="88">
        <f>SUM(UVG_Input_Data!AN40:AN60)</f>
        <v>0</v>
      </c>
      <c r="AO25" s="88">
        <f>SUM(UVG_Input_Data!AO40:AO60)</f>
        <v>0</v>
      </c>
      <c r="AP25" s="88">
        <f>SUM(UVG_Input_Data!AP40:AP60)</f>
        <v>0</v>
      </c>
      <c r="AQ25" s="88">
        <f>SUM(UVG_Input_Data!AQ40:AQ60)</f>
        <v>0</v>
      </c>
      <c r="AR25" s="88">
        <f>SUM(UVG_Input_Data!AR40:AR60)</f>
        <v>0</v>
      </c>
      <c r="AS25" s="88">
        <f>SUM(UVG_Input_Data!AS40:AS60)</f>
        <v>0</v>
      </c>
      <c r="AT25" s="88">
        <f>SUM(UVG_Input_Data!AT40:AT60)</f>
        <v>0</v>
      </c>
      <c r="AU25" s="88">
        <f>SUM(UVG_Input_Data!AU40:AU60)</f>
        <v>0</v>
      </c>
      <c r="AV25" s="88">
        <f>SUM(UVG_Input_Data!AV40:AV60)</f>
        <v>0</v>
      </c>
      <c r="AW25" s="88">
        <f>SUM(UVG_Input_Data!AW40:AW60)</f>
        <v>0</v>
      </c>
      <c r="AX25" s="88">
        <f>SUM(UVG_Input_Data!AX40:AX60)</f>
        <v>0</v>
      </c>
      <c r="AY25" s="88">
        <f>SUM(UVG_Input_Data!AY40:AY60)</f>
        <v>0</v>
      </c>
      <c r="AZ25" s="88">
        <f>SUM(UVG_Input_Data!AZ40:AZ60)</f>
        <v>0</v>
      </c>
      <c r="BA25" s="86"/>
      <c r="BB25" s="86"/>
      <c r="BC25" s="86"/>
      <c r="BD25" s="86"/>
      <c r="BE25" s="86"/>
      <c r="BF25" s="86"/>
    </row>
    <row r="26" spans="2:58" s="92" customFormat="1" ht="6" customHeight="1">
      <c r="B26" s="93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94"/>
      <c r="BB26" s="94"/>
      <c r="BC26" s="94"/>
      <c r="BD26" s="94"/>
      <c r="BE26" s="94"/>
      <c r="BF26" s="94"/>
    </row>
    <row r="27" spans="2:58" s="86" customFormat="1">
      <c r="B27" s="87" t="str">
        <f>VLOOKUP("T.04.11", Translation,IF(Language="DE",2,IF(Language="FR",3,4)),FALSE)</f>
        <v>Zahlungen der Teuerungszulagen, davon</v>
      </c>
      <c r="C27" s="88">
        <f>SUM(C28:C29)</f>
        <v>0</v>
      </c>
      <c r="D27" s="88">
        <f t="shared" ref="D27:AZ27" si="2">SUM(D28:D29)</f>
        <v>0</v>
      </c>
      <c r="E27" s="88">
        <f t="shared" si="2"/>
        <v>0</v>
      </c>
      <c r="F27" s="88">
        <f t="shared" si="2"/>
        <v>0</v>
      </c>
      <c r="G27" s="88">
        <f t="shared" si="2"/>
        <v>0</v>
      </c>
      <c r="H27" s="88">
        <f t="shared" si="2"/>
        <v>0</v>
      </c>
      <c r="I27" s="88">
        <f t="shared" si="2"/>
        <v>0</v>
      </c>
      <c r="J27" s="88">
        <f t="shared" si="2"/>
        <v>0</v>
      </c>
      <c r="K27" s="88">
        <f t="shared" si="2"/>
        <v>0</v>
      </c>
      <c r="L27" s="88">
        <f t="shared" si="2"/>
        <v>0</v>
      </c>
      <c r="M27" s="88">
        <f t="shared" si="2"/>
        <v>0</v>
      </c>
      <c r="N27" s="88">
        <f t="shared" si="2"/>
        <v>0</v>
      </c>
      <c r="O27" s="88">
        <f t="shared" si="2"/>
        <v>0</v>
      </c>
      <c r="P27" s="88">
        <f t="shared" si="2"/>
        <v>0</v>
      </c>
      <c r="Q27" s="88">
        <f t="shared" si="2"/>
        <v>0</v>
      </c>
      <c r="R27" s="88">
        <f t="shared" si="2"/>
        <v>0</v>
      </c>
      <c r="S27" s="88">
        <f t="shared" si="2"/>
        <v>0</v>
      </c>
      <c r="T27" s="88">
        <f t="shared" si="2"/>
        <v>0</v>
      </c>
      <c r="U27" s="88">
        <f t="shared" si="2"/>
        <v>0</v>
      </c>
      <c r="V27" s="88">
        <f t="shared" si="2"/>
        <v>0</v>
      </c>
      <c r="W27" s="88">
        <f t="shared" si="2"/>
        <v>0</v>
      </c>
      <c r="X27" s="88">
        <f t="shared" si="2"/>
        <v>0</v>
      </c>
      <c r="Y27" s="88">
        <f t="shared" si="2"/>
        <v>0</v>
      </c>
      <c r="Z27" s="88">
        <f t="shared" si="2"/>
        <v>0</v>
      </c>
      <c r="AA27" s="88">
        <f t="shared" si="2"/>
        <v>0</v>
      </c>
      <c r="AB27" s="88">
        <f t="shared" si="2"/>
        <v>0</v>
      </c>
      <c r="AC27" s="88">
        <f t="shared" si="2"/>
        <v>0</v>
      </c>
      <c r="AD27" s="88">
        <f t="shared" si="2"/>
        <v>0</v>
      </c>
      <c r="AE27" s="88">
        <f t="shared" si="2"/>
        <v>0</v>
      </c>
      <c r="AF27" s="88">
        <f t="shared" si="2"/>
        <v>0</v>
      </c>
      <c r="AG27" s="88">
        <f t="shared" si="2"/>
        <v>0</v>
      </c>
      <c r="AH27" s="88">
        <f t="shared" si="2"/>
        <v>0</v>
      </c>
      <c r="AI27" s="88">
        <f t="shared" si="2"/>
        <v>0</v>
      </c>
      <c r="AJ27" s="88">
        <f t="shared" si="2"/>
        <v>0</v>
      </c>
      <c r="AK27" s="88">
        <f t="shared" si="2"/>
        <v>0</v>
      </c>
      <c r="AL27" s="88">
        <f t="shared" si="2"/>
        <v>0</v>
      </c>
      <c r="AM27" s="88">
        <f t="shared" si="2"/>
        <v>0</v>
      </c>
      <c r="AN27" s="88">
        <f t="shared" si="2"/>
        <v>0</v>
      </c>
      <c r="AO27" s="88">
        <f t="shared" si="2"/>
        <v>0</v>
      </c>
      <c r="AP27" s="88">
        <f t="shared" si="2"/>
        <v>0</v>
      </c>
      <c r="AQ27" s="88">
        <f t="shared" si="2"/>
        <v>0</v>
      </c>
      <c r="AR27" s="88">
        <f t="shared" si="2"/>
        <v>0</v>
      </c>
      <c r="AS27" s="88">
        <f t="shared" si="2"/>
        <v>0</v>
      </c>
      <c r="AT27" s="88">
        <f t="shared" si="2"/>
        <v>0</v>
      </c>
      <c r="AU27" s="88">
        <f t="shared" si="2"/>
        <v>0</v>
      </c>
      <c r="AV27" s="88">
        <f t="shared" si="2"/>
        <v>0</v>
      </c>
      <c r="AW27" s="88">
        <f t="shared" si="2"/>
        <v>0</v>
      </c>
      <c r="AX27" s="88">
        <f t="shared" si="2"/>
        <v>0</v>
      </c>
      <c r="AY27" s="88">
        <f t="shared" si="2"/>
        <v>0</v>
      </c>
      <c r="AZ27" s="88">
        <f t="shared" si="2"/>
        <v>0</v>
      </c>
    </row>
    <row r="28" spans="2:58" s="86" customFormat="1">
      <c r="B28" s="155" t="str">
        <f>VLOOKUP("T.04.12", Translation,IF(Language="DE",2,IF(Language="FR",3,4)),FALSE)</f>
        <v>bis 1.01.2025 gesprochene Teuerungszulagen</v>
      </c>
      <c r="C28" s="88">
        <f>UVG_Input_Data!$D$16 *UVG_Input_Data!C29</f>
        <v>0</v>
      </c>
      <c r="D28" s="88">
        <f>UVG_Input_Data!$D$16 *UVG_Input_Data!D29</f>
        <v>0</v>
      </c>
      <c r="E28" s="88">
        <f>UVG_Input_Data!$D$16 *UVG_Input_Data!E29</f>
        <v>0</v>
      </c>
      <c r="F28" s="88">
        <f>UVG_Input_Data!$D$16 *UVG_Input_Data!F29</f>
        <v>0</v>
      </c>
      <c r="G28" s="88">
        <f>UVG_Input_Data!$D$16 *UVG_Input_Data!G29</f>
        <v>0</v>
      </c>
      <c r="H28" s="88">
        <f>UVG_Input_Data!$D$16 *UVG_Input_Data!H29</f>
        <v>0</v>
      </c>
      <c r="I28" s="88">
        <f>UVG_Input_Data!$D$16 *UVG_Input_Data!I29</f>
        <v>0</v>
      </c>
      <c r="J28" s="88">
        <f>UVG_Input_Data!$D$16 *UVG_Input_Data!J29</f>
        <v>0</v>
      </c>
      <c r="K28" s="88">
        <f>UVG_Input_Data!$D$16 *UVG_Input_Data!K29</f>
        <v>0</v>
      </c>
      <c r="L28" s="88">
        <f>UVG_Input_Data!$D$16 *UVG_Input_Data!L29</f>
        <v>0</v>
      </c>
      <c r="M28" s="88">
        <f>UVG_Input_Data!$D$16 *UVG_Input_Data!M29</f>
        <v>0</v>
      </c>
      <c r="N28" s="88">
        <f>UVG_Input_Data!$D$16 *UVG_Input_Data!N29</f>
        <v>0</v>
      </c>
      <c r="O28" s="88">
        <f>UVG_Input_Data!$D$16 *UVG_Input_Data!O29</f>
        <v>0</v>
      </c>
      <c r="P28" s="88">
        <f>UVG_Input_Data!$D$16 *UVG_Input_Data!P29</f>
        <v>0</v>
      </c>
      <c r="Q28" s="88">
        <f>UVG_Input_Data!$D$16 *UVG_Input_Data!Q29</f>
        <v>0</v>
      </c>
      <c r="R28" s="88">
        <f>UVG_Input_Data!$D$16 *UVG_Input_Data!R29</f>
        <v>0</v>
      </c>
      <c r="S28" s="88">
        <f>UVG_Input_Data!$D$16 *UVG_Input_Data!S29</f>
        <v>0</v>
      </c>
      <c r="T28" s="88">
        <f>UVG_Input_Data!$D$16 *UVG_Input_Data!T29</f>
        <v>0</v>
      </c>
      <c r="U28" s="88">
        <f>UVG_Input_Data!$D$16 *UVG_Input_Data!U29</f>
        <v>0</v>
      </c>
      <c r="V28" s="88">
        <f>UVG_Input_Data!$D$16 *UVG_Input_Data!V29</f>
        <v>0</v>
      </c>
      <c r="W28" s="88">
        <f>UVG_Input_Data!$D$16 *UVG_Input_Data!W29</f>
        <v>0</v>
      </c>
      <c r="X28" s="88">
        <f>UVG_Input_Data!$D$16 *UVG_Input_Data!X29</f>
        <v>0</v>
      </c>
      <c r="Y28" s="88">
        <f>UVG_Input_Data!$D$16 *UVG_Input_Data!Y29</f>
        <v>0</v>
      </c>
      <c r="Z28" s="88">
        <f>UVG_Input_Data!$D$16 *UVG_Input_Data!Z29</f>
        <v>0</v>
      </c>
      <c r="AA28" s="88">
        <f>UVG_Input_Data!$D$16 *UVG_Input_Data!AA29</f>
        <v>0</v>
      </c>
      <c r="AB28" s="88">
        <f>UVG_Input_Data!$D$16 *UVG_Input_Data!AB29</f>
        <v>0</v>
      </c>
      <c r="AC28" s="88">
        <f>UVG_Input_Data!$D$16 *UVG_Input_Data!AC29</f>
        <v>0</v>
      </c>
      <c r="AD28" s="88">
        <f>UVG_Input_Data!$D$16 *UVG_Input_Data!AD29</f>
        <v>0</v>
      </c>
      <c r="AE28" s="88">
        <f>UVG_Input_Data!$D$16 *UVG_Input_Data!AE29</f>
        <v>0</v>
      </c>
      <c r="AF28" s="88">
        <f>UVG_Input_Data!$D$16 *UVG_Input_Data!AF29</f>
        <v>0</v>
      </c>
      <c r="AG28" s="88">
        <f>UVG_Input_Data!$D$16 *UVG_Input_Data!AG29</f>
        <v>0</v>
      </c>
      <c r="AH28" s="88">
        <f>UVG_Input_Data!$D$16 *UVG_Input_Data!AH29</f>
        <v>0</v>
      </c>
      <c r="AI28" s="88">
        <f>UVG_Input_Data!$D$16 *UVG_Input_Data!AI29</f>
        <v>0</v>
      </c>
      <c r="AJ28" s="88">
        <f>UVG_Input_Data!$D$16 *UVG_Input_Data!AJ29</f>
        <v>0</v>
      </c>
      <c r="AK28" s="88">
        <f>UVG_Input_Data!$D$16 *UVG_Input_Data!AK29</f>
        <v>0</v>
      </c>
      <c r="AL28" s="88">
        <f>UVG_Input_Data!$D$16 *UVG_Input_Data!AL29</f>
        <v>0</v>
      </c>
      <c r="AM28" s="88">
        <f>UVG_Input_Data!$D$16 *UVG_Input_Data!AM29</f>
        <v>0</v>
      </c>
      <c r="AN28" s="88">
        <f>UVG_Input_Data!$D$16 *UVG_Input_Data!AN29</f>
        <v>0</v>
      </c>
      <c r="AO28" s="88">
        <f>UVG_Input_Data!$D$16 *UVG_Input_Data!AO29</f>
        <v>0</v>
      </c>
      <c r="AP28" s="88">
        <f>UVG_Input_Data!$D$16 *UVG_Input_Data!AP29</f>
        <v>0</v>
      </c>
      <c r="AQ28" s="88">
        <f>UVG_Input_Data!$D$16 *UVG_Input_Data!AQ29</f>
        <v>0</v>
      </c>
      <c r="AR28" s="88">
        <f>UVG_Input_Data!$D$16 *UVG_Input_Data!AR29</f>
        <v>0</v>
      </c>
      <c r="AS28" s="88">
        <f>UVG_Input_Data!$D$16 *UVG_Input_Data!AS29</f>
        <v>0</v>
      </c>
      <c r="AT28" s="88">
        <f>UVG_Input_Data!$D$16 *UVG_Input_Data!AT29</f>
        <v>0</v>
      </c>
      <c r="AU28" s="88">
        <f>UVG_Input_Data!$D$16 *UVG_Input_Data!AU29</f>
        <v>0</v>
      </c>
      <c r="AV28" s="88">
        <f>UVG_Input_Data!$D$16 *UVG_Input_Data!AV29</f>
        <v>0</v>
      </c>
      <c r="AW28" s="88">
        <f>UVG_Input_Data!$D$16 *UVG_Input_Data!AW29</f>
        <v>0</v>
      </c>
      <c r="AX28" s="88">
        <f>UVG_Input_Data!$D$16 *UVG_Input_Data!AX29</f>
        <v>0</v>
      </c>
      <c r="AY28" s="88">
        <f>UVG_Input_Data!$D$16 *UVG_Input_Data!AY29</f>
        <v>0</v>
      </c>
      <c r="AZ28" s="88">
        <f>UVG_Input_Data!$D$16 *UVG_Input_Data!AZ29</f>
        <v>0</v>
      </c>
    </row>
    <row r="29" spans="2:58" s="86" customFormat="1">
      <c r="B29" s="155" t="str">
        <f>VLOOKUP("T.04.13", Translation,IF(Language="DE",2,IF(Language="FR",3,4)),FALSE)</f>
        <v>ab 1.01.2025 zuerkannte Teuerungszulagen, davon</v>
      </c>
      <c r="C29" s="88">
        <f>SUM(C30:C31)</f>
        <v>0</v>
      </c>
      <c r="D29" s="88">
        <f t="shared" ref="D29:AZ29" si="3">SUM(D30:D31)</f>
        <v>0</v>
      </c>
      <c r="E29" s="88">
        <f t="shared" si="3"/>
        <v>0</v>
      </c>
      <c r="F29" s="88">
        <f t="shared" si="3"/>
        <v>0</v>
      </c>
      <c r="G29" s="88">
        <f t="shared" si="3"/>
        <v>0</v>
      </c>
      <c r="H29" s="88">
        <f t="shared" si="3"/>
        <v>0</v>
      </c>
      <c r="I29" s="88">
        <f t="shared" si="3"/>
        <v>0</v>
      </c>
      <c r="J29" s="88">
        <f t="shared" si="3"/>
        <v>0</v>
      </c>
      <c r="K29" s="88">
        <f t="shared" si="3"/>
        <v>0</v>
      </c>
      <c r="L29" s="88">
        <f t="shared" si="3"/>
        <v>0</v>
      </c>
      <c r="M29" s="88">
        <f t="shared" si="3"/>
        <v>0</v>
      </c>
      <c r="N29" s="88">
        <f t="shared" si="3"/>
        <v>0</v>
      </c>
      <c r="O29" s="88">
        <f t="shared" si="3"/>
        <v>0</v>
      </c>
      <c r="P29" s="88">
        <f t="shared" si="3"/>
        <v>0</v>
      </c>
      <c r="Q29" s="88">
        <f t="shared" si="3"/>
        <v>0</v>
      </c>
      <c r="R29" s="88">
        <f t="shared" si="3"/>
        <v>0</v>
      </c>
      <c r="S29" s="88">
        <f t="shared" si="3"/>
        <v>0</v>
      </c>
      <c r="T29" s="88">
        <f t="shared" si="3"/>
        <v>0</v>
      </c>
      <c r="U29" s="88">
        <f t="shared" si="3"/>
        <v>0</v>
      </c>
      <c r="V29" s="88">
        <f t="shared" si="3"/>
        <v>0</v>
      </c>
      <c r="W29" s="88">
        <f t="shared" si="3"/>
        <v>0</v>
      </c>
      <c r="X29" s="88">
        <f t="shared" si="3"/>
        <v>0</v>
      </c>
      <c r="Y29" s="88">
        <f t="shared" si="3"/>
        <v>0</v>
      </c>
      <c r="Z29" s="88">
        <f t="shared" si="3"/>
        <v>0</v>
      </c>
      <c r="AA29" s="88">
        <f t="shared" si="3"/>
        <v>0</v>
      </c>
      <c r="AB29" s="88">
        <f t="shared" si="3"/>
        <v>0</v>
      </c>
      <c r="AC29" s="88">
        <f t="shared" si="3"/>
        <v>0</v>
      </c>
      <c r="AD29" s="88">
        <f t="shared" si="3"/>
        <v>0</v>
      </c>
      <c r="AE29" s="88">
        <f t="shared" si="3"/>
        <v>0</v>
      </c>
      <c r="AF29" s="88">
        <f t="shared" si="3"/>
        <v>0</v>
      </c>
      <c r="AG29" s="88">
        <f t="shared" si="3"/>
        <v>0</v>
      </c>
      <c r="AH29" s="88">
        <f t="shared" si="3"/>
        <v>0</v>
      </c>
      <c r="AI29" s="88">
        <f t="shared" si="3"/>
        <v>0</v>
      </c>
      <c r="AJ29" s="88">
        <f t="shared" si="3"/>
        <v>0</v>
      </c>
      <c r="AK29" s="88">
        <f t="shared" si="3"/>
        <v>0</v>
      </c>
      <c r="AL29" s="88">
        <f t="shared" si="3"/>
        <v>0</v>
      </c>
      <c r="AM29" s="88">
        <f t="shared" si="3"/>
        <v>0</v>
      </c>
      <c r="AN29" s="88">
        <f t="shared" si="3"/>
        <v>0</v>
      </c>
      <c r="AO29" s="88">
        <f t="shared" si="3"/>
        <v>0</v>
      </c>
      <c r="AP29" s="88">
        <f t="shared" si="3"/>
        <v>0</v>
      </c>
      <c r="AQ29" s="88">
        <f t="shared" si="3"/>
        <v>0</v>
      </c>
      <c r="AR29" s="88">
        <f t="shared" si="3"/>
        <v>0</v>
      </c>
      <c r="AS29" s="88">
        <f t="shared" si="3"/>
        <v>0</v>
      </c>
      <c r="AT29" s="88">
        <f t="shared" si="3"/>
        <v>0</v>
      </c>
      <c r="AU29" s="88">
        <f t="shared" si="3"/>
        <v>0</v>
      </c>
      <c r="AV29" s="88">
        <f t="shared" si="3"/>
        <v>0</v>
      </c>
      <c r="AW29" s="88">
        <f t="shared" si="3"/>
        <v>0</v>
      </c>
      <c r="AX29" s="88">
        <f t="shared" si="3"/>
        <v>0</v>
      </c>
      <c r="AY29" s="88">
        <f t="shared" si="3"/>
        <v>0</v>
      </c>
      <c r="AZ29" s="88">
        <f t="shared" si="3"/>
        <v>0</v>
      </c>
    </row>
    <row r="30" spans="2:58" s="86" customFormat="1">
      <c r="B30" s="156" t="str">
        <f>VLOOKUP("T.04.14", Translation,IF(Language="DE",2,IF(Language="FR",3,4)),FALSE)</f>
        <v>für bisherigen Renten</v>
      </c>
      <c r="C30" s="183">
        <f>C24 *((1+ Inputparam!C28)^C23 - 1)</f>
        <v>0</v>
      </c>
      <c r="D30" s="183">
        <f>D24 *((1+ Inputparam!D28)^D23 - 1)</f>
        <v>0</v>
      </c>
      <c r="E30" s="183">
        <f>E24 *((1+ Inputparam!E28)^E23 - 1)</f>
        <v>0</v>
      </c>
      <c r="F30" s="183">
        <f>F24 *((1+ Inputparam!F28)^F23 - 1)</f>
        <v>0</v>
      </c>
      <c r="G30" s="183">
        <f>G24 *((1+ Inputparam!G28)^G23 - 1)</f>
        <v>0</v>
      </c>
      <c r="H30" s="183">
        <f>H24 *((1+ Inputparam!H28)^H23 - 1)</f>
        <v>0</v>
      </c>
      <c r="I30" s="183">
        <f>I24 *((1+ Inputparam!I28)^I23 - 1)</f>
        <v>0</v>
      </c>
      <c r="J30" s="183">
        <f>J24 *((1+ Inputparam!J28)^J23 - 1)</f>
        <v>0</v>
      </c>
      <c r="K30" s="183">
        <f>K24 *((1+ Inputparam!K28)^K23 - 1)</f>
        <v>0</v>
      </c>
      <c r="L30" s="183">
        <f>L24 *((1+ Inputparam!L28)^L23 - 1)</f>
        <v>0</v>
      </c>
      <c r="M30" s="183">
        <f>M24 *((1+ Inputparam!M28)^M23 - 1)</f>
        <v>0</v>
      </c>
      <c r="N30" s="183">
        <f>N24 *((1+ Inputparam!N28)^N23 - 1)</f>
        <v>0</v>
      </c>
      <c r="O30" s="183">
        <f>O24 *((1+ Inputparam!O28)^O23 - 1)</f>
        <v>0</v>
      </c>
      <c r="P30" s="183">
        <f>P24 *((1+ Inputparam!P28)^P23 - 1)</f>
        <v>0</v>
      </c>
      <c r="Q30" s="183">
        <f>Q24 *((1+ Inputparam!Q28)^Q23 - 1)</f>
        <v>0</v>
      </c>
      <c r="R30" s="183">
        <f>R24 *((1+ Inputparam!R28)^R23 - 1)</f>
        <v>0</v>
      </c>
      <c r="S30" s="183">
        <f>S24 *((1+ Inputparam!S28)^S23 - 1)</f>
        <v>0</v>
      </c>
      <c r="T30" s="183">
        <f>T24 *((1+ Inputparam!T28)^T23 - 1)</f>
        <v>0</v>
      </c>
      <c r="U30" s="183">
        <f>U24 *((1+ Inputparam!U28)^U23 - 1)</f>
        <v>0</v>
      </c>
      <c r="V30" s="183">
        <f>V24 *((1+ Inputparam!V28)^V23 - 1)</f>
        <v>0</v>
      </c>
      <c r="W30" s="183">
        <f>W24 *((1+ Inputparam!W28)^W23 - 1)</f>
        <v>0</v>
      </c>
      <c r="X30" s="183">
        <f>X24 *((1+ Inputparam!X28)^X23 - 1)</f>
        <v>0</v>
      </c>
      <c r="Y30" s="183">
        <f>Y24 *((1+ Inputparam!Y28)^Y23 - 1)</f>
        <v>0</v>
      </c>
      <c r="Z30" s="183">
        <f>Z24 *((1+ Inputparam!Z28)^Z23 - 1)</f>
        <v>0</v>
      </c>
      <c r="AA30" s="183">
        <f>AA24 *((1+ Inputparam!AA28)^AA23 - 1)</f>
        <v>0</v>
      </c>
      <c r="AB30" s="183">
        <f>AB24 *((1+ Inputparam!AB28)^AB23 - 1)</f>
        <v>0</v>
      </c>
      <c r="AC30" s="183">
        <f>AC24 *((1+ Inputparam!AC28)^AC23 - 1)</f>
        <v>0</v>
      </c>
      <c r="AD30" s="183">
        <f>AD24 *((1+ Inputparam!AD28)^AD23 - 1)</f>
        <v>0</v>
      </c>
      <c r="AE30" s="183">
        <f>AE24 *((1+ Inputparam!AE28)^AE23 - 1)</f>
        <v>0</v>
      </c>
      <c r="AF30" s="183">
        <f>AF24 *((1+ Inputparam!AF28)^AF23 - 1)</f>
        <v>0</v>
      </c>
      <c r="AG30" s="183">
        <f>AG24 *((1+ Inputparam!AG28)^AG23 - 1)</f>
        <v>0</v>
      </c>
      <c r="AH30" s="183">
        <f>AH24 *((1+ Inputparam!AH28)^AH23 - 1)</f>
        <v>0</v>
      </c>
      <c r="AI30" s="183">
        <f>AI24 *((1+ Inputparam!AI28)^AI23 - 1)</f>
        <v>0</v>
      </c>
      <c r="AJ30" s="183">
        <f>AJ24 *((1+ Inputparam!AJ28)^AJ23 - 1)</f>
        <v>0</v>
      </c>
      <c r="AK30" s="183">
        <f>AK24 *((1+ Inputparam!AK28)^AK23 - 1)</f>
        <v>0</v>
      </c>
      <c r="AL30" s="183">
        <f>AL24 *((1+ Inputparam!AL28)^AL23 - 1)</f>
        <v>0</v>
      </c>
      <c r="AM30" s="183">
        <f>AM24 *((1+ Inputparam!AM28)^AM23 - 1)</f>
        <v>0</v>
      </c>
      <c r="AN30" s="183">
        <f>AN24 *((1+ Inputparam!AN28)^AN23 - 1)</f>
        <v>0</v>
      </c>
      <c r="AO30" s="183">
        <f>AO24 *((1+ Inputparam!AO28)^AO23 - 1)</f>
        <v>0</v>
      </c>
      <c r="AP30" s="183">
        <f>AP24 *((1+ Inputparam!AP28)^AP23 - 1)</f>
        <v>0</v>
      </c>
      <c r="AQ30" s="183">
        <f>AQ24 *((1+ Inputparam!AQ28)^AQ23 - 1)</f>
        <v>0</v>
      </c>
      <c r="AR30" s="183">
        <f>AR24 *((1+ Inputparam!AR28)^AR23 - 1)</f>
        <v>0</v>
      </c>
      <c r="AS30" s="183">
        <f>AS24 *((1+ Inputparam!AS28)^AS23 - 1)</f>
        <v>0</v>
      </c>
      <c r="AT30" s="183">
        <f>AT24 *((1+ Inputparam!AT28)^AT23 - 1)</f>
        <v>0</v>
      </c>
      <c r="AU30" s="183">
        <f>AU24 *((1+ Inputparam!AU28)^AU23 - 1)</f>
        <v>0</v>
      </c>
      <c r="AV30" s="183">
        <f>AV24 *((1+ Inputparam!AV28)^AV23 - 1)</f>
        <v>0</v>
      </c>
      <c r="AW30" s="183">
        <f>AW24 *((1+ Inputparam!AW28)^AW23 - 1)</f>
        <v>0</v>
      </c>
      <c r="AX30" s="183">
        <f>AX24 *((1+ Inputparam!AX28)^AX23 - 1)</f>
        <v>0</v>
      </c>
      <c r="AY30" s="183">
        <f>AY24 *((1+ Inputparam!AY28)^AY23 - 1)</f>
        <v>0</v>
      </c>
      <c r="AZ30" s="183">
        <f>AZ24 *((1+ Inputparam!AZ28)^AZ23 - 1)</f>
        <v>0</v>
      </c>
    </row>
    <row r="31" spans="2:58" s="86" customFormat="1">
      <c r="B31" s="156" t="str">
        <f>VLOOKUP("T.04.15", Translation,IF(Language="DE",2,IF(Language="FR",3,4)),FALSE)</f>
        <v>für neue Renten</v>
      </c>
      <c r="C31" s="184">
        <f>C25 * ((1+ Inputparam!C28)^C23 - 1)</f>
        <v>0</v>
      </c>
      <c r="D31" s="184">
        <f>D25 * ((1+ Inputparam!D28)^D23 - 1)</f>
        <v>0</v>
      </c>
      <c r="E31" s="184">
        <f>E25 * ((1+ Inputparam!E28)^E23 - 1)</f>
        <v>0</v>
      </c>
      <c r="F31" s="184">
        <f>F25 * ((1+ Inputparam!F28)^F23 - 1)</f>
        <v>0</v>
      </c>
      <c r="G31" s="184">
        <f>G25 * ((1+ Inputparam!G28)^G23 - 1)</f>
        <v>0</v>
      </c>
      <c r="H31" s="184">
        <f>H25 * ((1+ Inputparam!H28)^H23 - 1)</f>
        <v>0</v>
      </c>
      <c r="I31" s="184">
        <f>I25 * ((1+ Inputparam!I28)^I23 - 1)</f>
        <v>0</v>
      </c>
      <c r="J31" s="184">
        <f>J25 * ((1+ Inputparam!J28)^J23 - 1)</f>
        <v>0</v>
      </c>
      <c r="K31" s="184">
        <f>K25 * ((1+ Inputparam!K28)^K23 - 1)</f>
        <v>0</v>
      </c>
      <c r="L31" s="184">
        <f>L25 * ((1+ Inputparam!L28)^L23 - 1)</f>
        <v>0</v>
      </c>
      <c r="M31" s="184">
        <f>M25 * ((1+ Inputparam!M28)^M23 - 1)</f>
        <v>0</v>
      </c>
      <c r="N31" s="184">
        <f>N25 * ((1+ Inputparam!N28)^N23 - 1)</f>
        <v>0</v>
      </c>
      <c r="O31" s="184">
        <f>O25 * ((1+ Inputparam!O28)^O23 - 1)</f>
        <v>0</v>
      </c>
      <c r="P31" s="184">
        <f>P25 * ((1+ Inputparam!P28)^P23 - 1)</f>
        <v>0</v>
      </c>
      <c r="Q31" s="184">
        <f>Q25 * ((1+ Inputparam!Q28)^Q23 - 1)</f>
        <v>0</v>
      </c>
      <c r="R31" s="184">
        <f>R25 * ((1+ Inputparam!R28)^R23 - 1)</f>
        <v>0</v>
      </c>
      <c r="S31" s="184">
        <f>S25 * ((1+ Inputparam!S28)^S23 - 1)</f>
        <v>0</v>
      </c>
      <c r="T31" s="184">
        <f>T25 * ((1+ Inputparam!T28)^T23 - 1)</f>
        <v>0</v>
      </c>
      <c r="U31" s="184">
        <f>U25 * ((1+ Inputparam!U28)^U23 - 1)</f>
        <v>0</v>
      </c>
      <c r="V31" s="184">
        <f>V25 * ((1+ Inputparam!V28)^V23 - 1)</f>
        <v>0</v>
      </c>
      <c r="W31" s="184">
        <f>W25 * ((1+ Inputparam!W28)^W23 - 1)</f>
        <v>0</v>
      </c>
      <c r="X31" s="184">
        <f>X25 * ((1+ Inputparam!X28)^X23 - 1)</f>
        <v>0</v>
      </c>
      <c r="Y31" s="184">
        <f>Y25 * ((1+ Inputparam!Y28)^Y23 - 1)</f>
        <v>0</v>
      </c>
      <c r="Z31" s="184">
        <f>Z25 * ((1+ Inputparam!Z28)^Z23 - 1)</f>
        <v>0</v>
      </c>
      <c r="AA31" s="184">
        <f>AA25 * ((1+ Inputparam!AA28)^AA23 - 1)</f>
        <v>0</v>
      </c>
      <c r="AB31" s="184">
        <f>AB25 * ((1+ Inputparam!AB28)^AB23 - 1)</f>
        <v>0</v>
      </c>
      <c r="AC31" s="184">
        <f>AC25 * ((1+ Inputparam!AC28)^AC23 - 1)</f>
        <v>0</v>
      </c>
      <c r="AD31" s="184">
        <f>AD25 * ((1+ Inputparam!AD28)^AD23 - 1)</f>
        <v>0</v>
      </c>
      <c r="AE31" s="184">
        <f>AE25 * ((1+ Inputparam!AE28)^AE23 - 1)</f>
        <v>0</v>
      </c>
      <c r="AF31" s="184">
        <f>AF25 * ((1+ Inputparam!AF28)^AF23 - 1)</f>
        <v>0</v>
      </c>
      <c r="AG31" s="184">
        <f>AG25 * ((1+ Inputparam!AG28)^AG23 - 1)</f>
        <v>0</v>
      </c>
      <c r="AH31" s="184">
        <f>AH25 * ((1+ Inputparam!AH28)^AH23 - 1)</f>
        <v>0</v>
      </c>
      <c r="AI31" s="184">
        <f>AI25 * ((1+ Inputparam!AI28)^AI23 - 1)</f>
        <v>0</v>
      </c>
      <c r="AJ31" s="184">
        <f>AJ25 * ((1+ Inputparam!AJ28)^AJ23 - 1)</f>
        <v>0</v>
      </c>
      <c r="AK31" s="184">
        <f>AK25 * ((1+ Inputparam!AK28)^AK23 - 1)</f>
        <v>0</v>
      </c>
      <c r="AL31" s="184">
        <f>AL25 * ((1+ Inputparam!AL28)^AL23 - 1)</f>
        <v>0</v>
      </c>
      <c r="AM31" s="184">
        <f>AM25 * ((1+ Inputparam!AM28)^AM23 - 1)</f>
        <v>0</v>
      </c>
      <c r="AN31" s="184">
        <f>AN25 * ((1+ Inputparam!AN28)^AN23 - 1)</f>
        <v>0</v>
      </c>
      <c r="AO31" s="184">
        <f>AO25 * ((1+ Inputparam!AO28)^AO23 - 1)</f>
        <v>0</v>
      </c>
      <c r="AP31" s="184">
        <f>AP25 * ((1+ Inputparam!AP28)^AP23 - 1)</f>
        <v>0</v>
      </c>
      <c r="AQ31" s="184">
        <f>AQ25 * ((1+ Inputparam!AQ28)^AQ23 - 1)</f>
        <v>0</v>
      </c>
      <c r="AR31" s="184">
        <f>AR25 * ((1+ Inputparam!AR28)^AR23 - 1)</f>
        <v>0</v>
      </c>
      <c r="AS31" s="184">
        <f>AS25 * ((1+ Inputparam!AS28)^AS23 - 1)</f>
        <v>0</v>
      </c>
      <c r="AT31" s="184">
        <f>AT25 * ((1+ Inputparam!AT28)^AT23 - 1)</f>
        <v>0</v>
      </c>
      <c r="AU31" s="184">
        <f>AU25 * ((1+ Inputparam!AU28)^AU23 - 1)</f>
        <v>0</v>
      </c>
      <c r="AV31" s="184">
        <f>AV25 * ((1+ Inputparam!AV28)^AV23 - 1)</f>
        <v>0</v>
      </c>
      <c r="AW31" s="184">
        <f>AW25 * ((1+ Inputparam!AW28)^AW23 - 1)</f>
        <v>0</v>
      </c>
      <c r="AX31" s="184">
        <f>AX25 * ((1+ Inputparam!AX28)^AX23 - 1)</f>
        <v>0</v>
      </c>
      <c r="AY31" s="184">
        <f>AY25 * ((1+ Inputparam!AY28)^AY23 - 1)</f>
        <v>0</v>
      </c>
      <c r="AZ31" s="184">
        <f>AZ25 * ((1+ Inputparam!AZ28)^AZ23 - 1)</f>
        <v>0</v>
      </c>
    </row>
    <row r="32" spans="2:58" s="94" customFormat="1" ht="4.5" customHeight="1">
      <c r="B32" s="157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</row>
    <row r="33" spans="1:58" s="86" customFormat="1">
      <c r="B33" s="87" t="str">
        <f>VLOOKUP("T.04.16", Translation,IF(Language="DE",2,IF(Language="FR",3,4)),FALSE)</f>
        <v>Zinseinnahmen, davon</v>
      </c>
      <c r="C33" s="88">
        <f ca="1">SUM(C34:C36)</f>
        <v>0</v>
      </c>
      <c r="D33" s="88">
        <f t="shared" ref="D33:AZ33" ca="1" si="4">SUM(D34:D36)</f>
        <v>0</v>
      </c>
      <c r="E33" s="88">
        <f t="shared" ca="1" si="4"/>
        <v>0</v>
      </c>
      <c r="F33" s="88">
        <f t="shared" ca="1" si="4"/>
        <v>0</v>
      </c>
      <c r="G33" s="88">
        <f t="shared" ca="1" si="4"/>
        <v>0</v>
      </c>
      <c r="H33" s="88">
        <f t="shared" ca="1" si="4"/>
        <v>0</v>
      </c>
      <c r="I33" s="88">
        <f t="shared" ca="1" si="4"/>
        <v>0</v>
      </c>
      <c r="J33" s="88">
        <f t="shared" ca="1" si="4"/>
        <v>0</v>
      </c>
      <c r="K33" s="88">
        <f t="shared" ca="1" si="4"/>
        <v>0</v>
      </c>
      <c r="L33" s="88">
        <f t="shared" ca="1" si="4"/>
        <v>0</v>
      </c>
      <c r="M33" s="88">
        <f t="shared" ca="1" si="4"/>
        <v>0</v>
      </c>
      <c r="N33" s="88">
        <f t="shared" ca="1" si="4"/>
        <v>0</v>
      </c>
      <c r="O33" s="88">
        <f t="shared" ca="1" si="4"/>
        <v>0</v>
      </c>
      <c r="P33" s="88">
        <f t="shared" ca="1" si="4"/>
        <v>0</v>
      </c>
      <c r="Q33" s="88">
        <f t="shared" ca="1" si="4"/>
        <v>0</v>
      </c>
      <c r="R33" s="88">
        <f t="shared" ca="1" si="4"/>
        <v>0</v>
      </c>
      <c r="S33" s="88">
        <f t="shared" ca="1" si="4"/>
        <v>0</v>
      </c>
      <c r="T33" s="88">
        <f t="shared" ca="1" si="4"/>
        <v>0</v>
      </c>
      <c r="U33" s="88">
        <f t="shared" ca="1" si="4"/>
        <v>0</v>
      </c>
      <c r="V33" s="88">
        <f t="shared" ca="1" si="4"/>
        <v>0</v>
      </c>
      <c r="W33" s="88">
        <f t="shared" ca="1" si="4"/>
        <v>0</v>
      </c>
      <c r="X33" s="88">
        <f t="shared" ca="1" si="4"/>
        <v>0</v>
      </c>
      <c r="Y33" s="88">
        <f t="shared" ca="1" si="4"/>
        <v>0</v>
      </c>
      <c r="Z33" s="88">
        <f t="shared" ca="1" si="4"/>
        <v>0</v>
      </c>
      <c r="AA33" s="88">
        <f t="shared" ca="1" si="4"/>
        <v>0</v>
      </c>
      <c r="AB33" s="88">
        <f t="shared" ca="1" si="4"/>
        <v>0</v>
      </c>
      <c r="AC33" s="88">
        <f t="shared" ca="1" si="4"/>
        <v>0</v>
      </c>
      <c r="AD33" s="88">
        <f t="shared" ca="1" si="4"/>
        <v>0</v>
      </c>
      <c r="AE33" s="88">
        <f t="shared" ca="1" si="4"/>
        <v>0</v>
      </c>
      <c r="AF33" s="88">
        <f t="shared" ca="1" si="4"/>
        <v>0</v>
      </c>
      <c r="AG33" s="88">
        <f t="shared" ca="1" si="4"/>
        <v>0</v>
      </c>
      <c r="AH33" s="88">
        <f t="shared" ca="1" si="4"/>
        <v>0</v>
      </c>
      <c r="AI33" s="88">
        <f t="shared" ca="1" si="4"/>
        <v>0</v>
      </c>
      <c r="AJ33" s="88">
        <f t="shared" ca="1" si="4"/>
        <v>0</v>
      </c>
      <c r="AK33" s="88">
        <f t="shared" ca="1" si="4"/>
        <v>0</v>
      </c>
      <c r="AL33" s="88">
        <f t="shared" ca="1" si="4"/>
        <v>0</v>
      </c>
      <c r="AM33" s="88">
        <f t="shared" ca="1" si="4"/>
        <v>0</v>
      </c>
      <c r="AN33" s="88">
        <f t="shared" ca="1" si="4"/>
        <v>0</v>
      </c>
      <c r="AO33" s="88">
        <f t="shared" ca="1" si="4"/>
        <v>0</v>
      </c>
      <c r="AP33" s="88">
        <f t="shared" ca="1" si="4"/>
        <v>0</v>
      </c>
      <c r="AQ33" s="88">
        <f t="shared" ca="1" si="4"/>
        <v>0</v>
      </c>
      <c r="AR33" s="88">
        <f t="shared" ca="1" si="4"/>
        <v>0</v>
      </c>
      <c r="AS33" s="88">
        <f t="shared" ca="1" si="4"/>
        <v>0</v>
      </c>
      <c r="AT33" s="88">
        <f t="shared" ca="1" si="4"/>
        <v>0</v>
      </c>
      <c r="AU33" s="88">
        <f t="shared" ca="1" si="4"/>
        <v>0</v>
      </c>
      <c r="AV33" s="88">
        <f t="shared" ca="1" si="4"/>
        <v>0</v>
      </c>
      <c r="AW33" s="88">
        <f t="shared" ca="1" si="4"/>
        <v>0</v>
      </c>
      <c r="AX33" s="88">
        <f t="shared" ca="1" si="4"/>
        <v>0</v>
      </c>
      <c r="AY33" s="88">
        <f t="shared" ca="1" si="4"/>
        <v>0</v>
      </c>
      <c r="AZ33" s="88">
        <f t="shared" ca="1" si="4"/>
        <v>0</v>
      </c>
    </row>
    <row r="34" spans="1:58" s="86" customFormat="1">
      <c r="B34" s="125" t="str">
        <f>VLOOKUP("T.04.17", Translation,IF(Language="DE",2,IF(Language="FR",3,4)),FALSE)</f>
        <v>Zinsüberschüsse</v>
      </c>
      <c r="C34" s="88">
        <f>(Inputparam!C22 - Inputparam!$C$33)*C45</f>
        <v>0</v>
      </c>
      <c r="D34" s="88">
        <f ca="1">(Inputparam!D22 - Inputparam!$C$33)*D45</f>
        <v>0</v>
      </c>
      <c r="E34" s="88">
        <f ca="1">(Inputparam!E22 - Inputparam!$C$33)*E45</f>
        <v>0</v>
      </c>
      <c r="F34" s="88">
        <f ca="1">(Inputparam!F22 - Inputparam!$C$33)*F45</f>
        <v>0</v>
      </c>
      <c r="G34" s="88">
        <f ca="1">(Inputparam!G22 - Inputparam!$C$33)*G45</f>
        <v>0</v>
      </c>
      <c r="H34" s="88">
        <f ca="1">(Inputparam!H22 - Inputparam!$C$33)*H45</f>
        <v>0</v>
      </c>
      <c r="I34" s="88">
        <f ca="1">(Inputparam!I22 - Inputparam!$C$33)*I45</f>
        <v>0</v>
      </c>
      <c r="J34" s="88">
        <f ca="1">(Inputparam!J22 - Inputparam!$C$33)*J45</f>
        <v>0</v>
      </c>
      <c r="K34" s="88">
        <f ca="1">(Inputparam!K22 - Inputparam!$C$33)*K45</f>
        <v>0</v>
      </c>
      <c r="L34" s="88">
        <f ca="1">(Inputparam!L22 - Inputparam!$C$33)*L45</f>
        <v>0</v>
      </c>
      <c r="M34" s="88">
        <f ca="1">(Inputparam!M22 - Inputparam!$C$33)*M45</f>
        <v>0</v>
      </c>
      <c r="N34" s="88">
        <f ca="1">(Inputparam!N22 - Inputparam!$C$33)*N45</f>
        <v>0</v>
      </c>
      <c r="O34" s="88">
        <f ca="1">(Inputparam!O22 - Inputparam!$C$33)*O45</f>
        <v>0</v>
      </c>
      <c r="P34" s="88">
        <f ca="1">(Inputparam!P22 - Inputparam!$C$33)*P45</f>
        <v>0</v>
      </c>
      <c r="Q34" s="88">
        <f ca="1">(Inputparam!Q22 - Inputparam!$C$33)*Q45</f>
        <v>0</v>
      </c>
      <c r="R34" s="88">
        <f ca="1">(Inputparam!R22 - Inputparam!$C$33)*R45</f>
        <v>0</v>
      </c>
      <c r="S34" s="88">
        <f ca="1">(Inputparam!S22 - Inputparam!$C$33)*S45</f>
        <v>0</v>
      </c>
      <c r="T34" s="88">
        <f ca="1">(Inputparam!T22 - Inputparam!$C$33)*T45</f>
        <v>0</v>
      </c>
      <c r="U34" s="88">
        <f ca="1">(Inputparam!U22 - Inputparam!$C$33)*U45</f>
        <v>0</v>
      </c>
      <c r="V34" s="88">
        <f ca="1">(Inputparam!V22 - Inputparam!$C$33)*V45</f>
        <v>0</v>
      </c>
      <c r="W34" s="88">
        <f ca="1">(Inputparam!W22 - Inputparam!$C$33)*W45</f>
        <v>0</v>
      </c>
      <c r="X34" s="88">
        <f ca="1">(Inputparam!X22 - Inputparam!$C$33)*X45</f>
        <v>0</v>
      </c>
      <c r="Y34" s="88">
        <f ca="1">(Inputparam!Y22 - Inputparam!$C$33)*Y45</f>
        <v>0</v>
      </c>
      <c r="Z34" s="88">
        <f ca="1">(Inputparam!Z22 - Inputparam!$C$33)*Z45</f>
        <v>0</v>
      </c>
      <c r="AA34" s="88">
        <f ca="1">(Inputparam!AA22 - Inputparam!$C$33)*AA45</f>
        <v>0</v>
      </c>
      <c r="AB34" s="88">
        <f ca="1">(Inputparam!AB22 - Inputparam!$C$33)*AB45</f>
        <v>0</v>
      </c>
      <c r="AC34" s="88">
        <f ca="1">(Inputparam!AC22 - Inputparam!$C$33)*AC45</f>
        <v>0</v>
      </c>
      <c r="AD34" s="88">
        <f ca="1">(Inputparam!AD22 - Inputparam!$C$33)*AD45</f>
        <v>0</v>
      </c>
      <c r="AE34" s="88">
        <f ca="1">(Inputparam!AE22 - Inputparam!$C$33)*AE45</f>
        <v>0</v>
      </c>
      <c r="AF34" s="88">
        <f ca="1">(Inputparam!AF22 - Inputparam!$C$33)*AF45</f>
        <v>0</v>
      </c>
      <c r="AG34" s="88">
        <f ca="1">(Inputparam!AG22 - Inputparam!$C$33)*AG45</f>
        <v>0</v>
      </c>
      <c r="AH34" s="88">
        <f ca="1">(Inputparam!AH22 - Inputparam!$C$33)*AH45</f>
        <v>0</v>
      </c>
      <c r="AI34" s="88">
        <f ca="1">(Inputparam!AI22 - Inputparam!$C$33)*AI45</f>
        <v>0</v>
      </c>
      <c r="AJ34" s="88">
        <f ca="1">(Inputparam!AJ22 - Inputparam!$C$33)*AJ45</f>
        <v>0</v>
      </c>
      <c r="AK34" s="88">
        <f ca="1">(Inputparam!AK22 - Inputparam!$C$33)*AK45</f>
        <v>0</v>
      </c>
      <c r="AL34" s="88">
        <f ca="1">(Inputparam!AL22 - Inputparam!$C$33)*AL45</f>
        <v>0</v>
      </c>
      <c r="AM34" s="88">
        <f ca="1">(Inputparam!AM22 - Inputparam!$C$33)*AM45</f>
        <v>0</v>
      </c>
      <c r="AN34" s="88">
        <f ca="1">(Inputparam!AN22 - Inputparam!$C$33)*AN45</f>
        <v>0</v>
      </c>
      <c r="AO34" s="88">
        <f ca="1">(Inputparam!AO22 - Inputparam!$C$33)*AO45</f>
        <v>0</v>
      </c>
      <c r="AP34" s="88">
        <f ca="1">(Inputparam!AP22 - Inputparam!$C$33)*AP45</f>
        <v>0</v>
      </c>
      <c r="AQ34" s="88">
        <f ca="1">(Inputparam!AQ22 - Inputparam!$C$33)*AQ45</f>
        <v>0</v>
      </c>
      <c r="AR34" s="88">
        <f ca="1">(Inputparam!AR22 - Inputparam!$C$33)*AR45</f>
        <v>0</v>
      </c>
      <c r="AS34" s="88">
        <f ca="1">(Inputparam!AS22 - Inputparam!$C$33)*AS45</f>
        <v>0</v>
      </c>
      <c r="AT34" s="88">
        <f ca="1">(Inputparam!AT22 - Inputparam!$C$33)*AT45</f>
        <v>0</v>
      </c>
      <c r="AU34" s="88">
        <f ca="1">(Inputparam!AU22 - Inputparam!$C$33)*AU45</f>
        <v>0</v>
      </c>
      <c r="AV34" s="88">
        <f ca="1">(Inputparam!AV22 - Inputparam!$C$33)*AV45</f>
        <v>0</v>
      </c>
      <c r="AW34" s="88">
        <f ca="1">(Inputparam!AW22 - Inputparam!$C$33)*AW45</f>
        <v>0</v>
      </c>
      <c r="AX34" s="88">
        <f ca="1">(Inputparam!AX22 - Inputparam!$C$33)*AX45</f>
        <v>0</v>
      </c>
      <c r="AY34" s="88">
        <f ca="1">(Inputparam!AY22 - Inputparam!$C$33)*AY45</f>
        <v>0</v>
      </c>
      <c r="AZ34" s="88">
        <f ca="1">(Inputparam!AZ22 - Inputparam!$C$33)*AZ45</f>
        <v>0</v>
      </c>
    </row>
    <row r="35" spans="1:58" s="86" customFormat="1">
      <c r="B35" s="125" t="str">
        <f>VLOOKUP("T.04.18", Translation,IF(Language="DE",2,IF(Language="FR",3,4)),FALSE)</f>
        <v>Zusatzfinanzierung</v>
      </c>
      <c r="C35" s="88">
        <f ca="1">MAX(Inputparam!C22 + 0.01,0) * SUM(C48:C49)</f>
        <v>0</v>
      </c>
      <c r="D35" s="88">
        <f ca="1">MAX(Inputparam!D22 + 0.01,0) * SUM(D48:D49)</f>
        <v>0</v>
      </c>
      <c r="E35" s="88">
        <f ca="1">MAX(Inputparam!E22 + 0.01,0) * SUM(E48:E49)</f>
        <v>0</v>
      </c>
      <c r="F35" s="88">
        <f ca="1">MAX(Inputparam!F22 + 0.01,0) * SUM(F48:F49)</f>
        <v>0</v>
      </c>
      <c r="G35" s="88">
        <f ca="1">MAX(Inputparam!G22 + 0.01,0) * SUM(G48:G49)</f>
        <v>0</v>
      </c>
      <c r="H35" s="88">
        <f ca="1">MAX(Inputparam!H22 + 0.01,0) * SUM(H48:H49)</f>
        <v>0</v>
      </c>
      <c r="I35" s="88">
        <f ca="1">MAX(Inputparam!I22 + 0.01,0) * SUM(I48:I49)</f>
        <v>0</v>
      </c>
      <c r="J35" s="88">
        <f ca="1">MAX(Inputparam!J22 + 0.01,0) * SUM(J48:J49)</f>
        <v>0</v>
      </c>
      <c r="K35" s="88">
        <f ca="1">MAX(Inputparam!K22 + 0.01,0) * SUM(K48:K49)</f>
        <v>0</v>
      </c>
      <c r="L35" s="88">
        <f ca="1">MAX(Inputparam!L22 + 0.01,0) * SUM(L48:L49)</f>
        <v>0</v>
      </c>
      <c r="M35" s="88">
        <f ca="1">MAX(Inputparam!M22 + 0.01,0) * SUM(M48:M49)</f>
        <v>0</v>
      </c>
      <c r="N35" s="88">
        <f ca="1">MAX(Inputparam!N22 + 0.01,0) * SUM(N48:N49)</f>
        <v>0</v>
      </c>
      <c r="O35" s="88">
        <f ca="1">MAX(Inputparam!O22 + 0.01,0) * SUM(O48:O49)</f>
        <v>0</v>
      </c>
      <c r="P35" s="88">
        <f ca="1">MAX(Inputparam!P22 + 0.01,0) * SUM(P48:P49)</f>
        <v>0</v>
      </c>
      <c r="Q35" s="88">
        <f ca="1">MAX(Inputparam!Q22 + 0.01,0) * SUM(Q48:Q49)</f>
        <v>0</v>
      </c>
      <c r="R35" s="88">
        <f ca="1">MAX(Inputparam!R22 + 0.01,0) * SUM(R48:R49)</f>
        <v>0</v>
      </c>
      <c r="S35" s="88">
        <f ca="1">MAX(Inputparam!S22 + 0.01,0) * SUM(S48:S49)</f>
        <v>0</v>
      </c>
      <c r="T35" s="88">
        <f ca="1">MAX(Inputparam!T22 + 0.01,0) * SUM(T48:T49)</f>
        <v>0</v>
      </c>
      <c r="U35" s="88">
        <f ca="1">MAX(Inputparam!U22 + 0.01,0) * SUM(U48:U49)</f>
        <v>0</v>
      </c>
      <c r="V35" s="88">
        <f ca="1">MAX(Inputparam!V22 + 0.01,0) * SUM(V48:V49)</f>
        <v>0</v>
      </c>
      <c r="W35" s="88">
        <f ca="1">MAX(Inputparam!W22 + 0.01,0) * SUM(W48:W49)</f>
        <v>0</v>
      </c>
      <c r="X35" s="88">
        <f ca="1">MAX(Inputparam!X22 + 0.01,0) * SUM(X48:X49)</f>
        <v>0</v>
      </c>
      <c r="Y35" s="88">
        <f ca="1">MAX(Inputparam!Y22 + 0.01,0) * SUM(Y48:Y49)</f>
        <v>0</v>
      </c>
      <c r="Z35" s="88">
        <f ca="1">MAX(Inputparam!Z22 + 0.01,0) * SUM(Z48:Z49)</f>
        <v>0</v>
      </c>
      <c r="AA35" s="88">
        <f ca="1">MAX(Inputparam!AA22 + 0.01,0) * SUM(AA48:AA49)</f>
        <v>0</v>
      </c>
      <c r="AB35" s="88">
        <f ca="1">MAX(Inputparam!AB22 + 0.01,0) * SUM(AB48:AB49)</f>
        <v>0</v>
      </c>
      <c r="AC35" s="88">
        <f ca="1">MAX(Inputparam!AC22 + 0.01,0) * SUM(AC48:AC49)</f>
        <v>0</v>
      </c>
      <c r="AD35" s="88">
        <f ca="1">MAX(Inputparam!AD22 + 0.01,0) * SUM(AD48:AD49)</f>
        <v>0</v>
      </c>
      <c r="AE35" s="88">
        <f ca="1">MAX(Inputparam!AE22 + 0.01,0) * SUM(AE48:AE49)</f>
        <v>0</v>
      </c>
      <c r="AF35" s="88">
        <f ca="1">MAX(Inputparam!AF22 + 0.01,0) * SUM(AF48:AF49)</f>
        <v>0</v>
      </c>
      <c r="AG35" s="88">
        <f ca="1">MAX(Inputparam!AG22 + 0.01,0) * SUM(AG48:AG49)</f>
        <v>0</v>
      </c>
      <c r="AH35" s="88">
        <f ca="1">MAX(Inputparam!AH22 + 0.01,0) * SUM(AH48:AH49)</f>
        <v>0</v>
      </c>
      <c r="AI35" s="88">
        <f ca="1">MAX(Inputparam!AI22 + 0.01,0) * SUM(AI48:AI49)</f>
        <v>0</v>
      </c>
      <c r="AJ35" s="88">
        <f ca="1">MAX(Inputparam!AJ22 + 0.01,0) * SUM(AJ48:AJ49)</f>
        <v>0</v>
      </c>
      <c r="AK35" s="88">
        <f ca="1">MAX(Inputparam!AK22 + 0.01,0) * SUM(AK48:AK49)</f>
        <v>0</v>
      </c>
      <c r="AL35" s="88">
        <f ca="1">MAX(Inputparam!AL22 + 0.01,0) * SUM(AL48:AL49)</f>
        <v>0</v>
      </c>
      <c r="AM35" s="88">
        <f ca="1">MAX(Inputparam!AM22 + 0.01,0) * SUM(AM48:AM49)</f>
        <v>0</v>
      </c>
      <c r="AN35" s="88">
        <f ca="1">MAX(Inputparam!AN22 + 0.01,0) * SUM(AN48:AN49)</f>
        <v>0</v>
      </c>
      <c r="AO35" s="88">
        <f ca="1">MAX(Inputparam!AO22 + 0.01,0) * SUM(AO48:AO49)</f>
        <v>0</v>
      </c>
      <c r="AP35" s="88">
        <f ca="1">MAX(Inputparam!AP22 + 0.01,0) * SUM(AP48:AP49)</f>
        <v>0</v>
      </c>
      <c r="AQ35" s="88">
        <f ca="1">MAX(Inputparam!AQ22 + 0.01,0) * SUM(AQ48:AQ49)</f>
        <v>0</v>
      </c>
      <c r="AR35" s="88">
        <f ca="1">MAX(Inputparam!AR22 + 0.01,0) * SUM(AR48:AR49)</f>
        <v>0</v>
      </c>
      <c r="AS35" s="88">
        <f ca="1">MAX(Inputparam!AS22 + 0.01,0) * SUM(AS48:AS49)</f>
        <v>0</v>
      </c>
      <c r="AT35" s="88">
        <f ca="1">MAX(Inputparam!AT22 + 0.01,0) * SUM(AT48:AT49)</f>
        <v>0</v>
      </c>
      <c r="AU35" s="88">
        <f ca="1">MAX(Inputparam!AU22 + 0.01,0) * SUM(AU48:AU49)</f>
        <v>0</v>
      </c>
      <c r="AV35" s="88">
        <f ca="1">MAX(Inputparam!AV22 + 0.01,0) * SUM(AV48:AV49)</f>
        <v>0</v>
      </c>
      <c r="AW35" s="88">
        <f ca="1">MAX(Inputparam!AW22 + 0.01,0) * SUM(AW48:AW49)</f>
        <v>0</v>
      </c>
      <c r="AX35" s="88">
        <f ca="1">MAX(Inputparam!AX22 + 0.01,0) * SUM(AX48:AX49)</f>
        <v>0</v>
      </c>
      <c r="AY35" s="88">
        <f ca="1">MAX(Inputparam!AY22 + 0.01,0) * SUM(AY48:AY49)</f>
        <v>0</v>
      </c>
      <c r="AZ35" s="88">
        <f ca="1">MAX(Inputparam!AZ22 + 0.01,0) * SUM(AZ48:AZ49)</f>
        <v>0</v>
      </c>
    </row>
    <row r="36" spans="1:58" s="86" customFormat="1">
      <c r="B36" s="125" t="str">
        <f>VLOOKUP("T.04.19", Translation,IF(Language="DE",2,IF(Language="FR",3,4)),FALSE)</f>
        <v>Zinserträge auf Teuerungsfonds</v>
      </c>
      <c r="C36" s="88">
        <f>Inputparam!C22 *C50</f>
        <v>0</v>
      </c>
      <c r="D36" s="88">
        <f ca="1">Inputparam!D22 *D50</f>
        <v>0</v>
      </c>
      <c r="E36" s="88">
        <f ca="1">Inputparam!E22 *E50</f>
        <v>0</v>
      </c>
      <c r="F36" s="88">
        <f ca="1">Inputparam!F22 *F50</f>
        <v>0</v>
      </c>
      <c r="G36" s="88">
        <f ca="1">Inputparam!G22 *G50</f>
        <v>0</v>
      </c>
      <c r="H36" s="88">
        <f ca="1">Inputparam!H22 *H50</f>
        <v>0</v>
      </c>
      <c r="I36" s="88">
        <f ca="1">Inputparam!I22 *I50</f>
        <v>0</v>
      </c>
      <c r="J36" s="88">
        <f ca="1">Inputparam!J22 *J50</f>
        <v>0</v>
      </c>
      <c r="K36" s="88">
        <f ca="1">Inputparam!K22 *K50</f>
        <v>0</v>
      </c>
      <c r="L36" s="88">
        <f ca="1">Inputparam!L22 *L50</f>
        <v>0</v>
      </c>
      <c r="M36" s="88">
        <f ca="1">Inputparam!M22 *M50</f>
        <v>0</v>
      </c>
      <c r="N36" s="88">
        <f ca="1">Inputparam!N22 *N50</f>
        <v>0</v>
      </c>
      <c r="O36" s="88">
        <f ca="1">Inputparam!O22 *O50</f>
        <v>0</v>
      </c>
      <c r="P36" s="88">
        <f ca="1">Inputparam!P22 *P50</f>
        <v>0</v>
      </c>
      <c r="Q36" s="88">
        <f ca="1">Inputparam!Q22 *Q50</f>
        <v>0</v>
      </c>
      <c r="R36" s="88">
        <f ca="1">Inputparam!R22 *R50</f>
        <v>0</v>
      </c>
      <c r="S36" s="88">
        <f ca="1">Inputparam!S22 *S50</f>
        <v>0</v>
      </c>
      <c r="T36" s="88">
        <f ca="1">Inputparam!T22 *T50</f>
        <v>0</v>
      </c>
      <c r="U36" s="88">
        <f ca="1">Inputparam!U22 *U50</f>
        <v>0</v>
      </c>
      <c r="V36" s="88">
        <f ca="1">Inputparam!V22 *V50</f>
        <v>0</v>
      </c>
      <c r="W36" s="88">
        <f ca="1">Inputparam!W22 *W50</f>
        <v>0</v>
      </c>
      <c r="X36" s="88">
        <f ca="1">Inputparam!X22 *X50</f>
        <v>0</v>
      </c>
      <c r="Y36" s="88">
        <f ca="1">Inputparam!Y22 *Y50</f>
        <v>0</v>
      </c>
      <c r="Z36" s="88">
        <f ca="1">Inputparam!Z22 *Z50</f>
        <v>0</v>
      </c>
      <c r="AA36" s="88">
        <f ca="1">Inputparam!AA22 *AA50</f>
        <v>0</v>
      </c>
      <c r="AB36" s="88">
        <f ca="1">Inputparam!AB22 *AB50</f>
        <v>0</v>
      </c>
      <c r="AC36" s="88">
        <f ca="1">Inputparam!AC22 *AC50</f>
        <v>0</v>
      </c>
      <c r="AD36" s="88">
        <f ca="1">Inputparam!AD22 *AD50</f>
        <v>0</v>
      </c>
      <c r="AE36" s="88">
        <f ca="1">Inputparam!AE22 *AE50</f>
        <v>0</v>
      </c>
      <c r="AF36" s="88">
        <f ca="1">Inputparam!AF22 *AF50</f>
        <v>0</v>
      </c>
      <c r="AG36" s="88">
        <f ca="1">Inputparam!AG22 *AG50</f>
        <v>0</v>
      </c>
      <c r="AH36" s="88">
        <f ca="1">Inputparam!AH22 *AH50</f>
        <v>0</v>
      </c>
      <c r="AI36" s="88">
        <f ca="1">Inputparam!AI22 *AI50</f>
        <v>0</v>
      </c>
      <c r="AJ36" s="88">
        <f ca="1">Inputparam!AJ22 *AJ50</f>
        <v>0</v>
      </c>
      <c r="AK36" s="88">
        <f ca="1">Inputparam!AK22 *AK50</f>
        <v>0</v>
      </c>
      <c r="AL36" s="88">
        <f ca="1">Inputparam!AL22 *AL50</f>
        <v>0</v>
      </c>
      <c r="AM36" s="88">
        <f ca="1">Inputparam!AM22 *AM50</f>
        <v>0</v>
      </c>
      <c r="AN36" s="88">
        <f ca="1">Inputparam!AN22 *AN50</f>
        <v>0</v>
      </c>
      <c r="AO36" s="88">
        <f ca="1">Inputparam!AO22 *AO50</f>
        <v>0</v>
      </c>
      <c r="AP36" s="88">
        <f ca="1">Inputparam!AP22 *AP50</f>
        <v>0</v>
      </c>
      <c r="AQ36" s="88">
        <f ca="1">Inputparam!AQ22 *AQ50</f>
        <v>0</v>
      </c>
      <c r="AR36" s="88">
        <f ca="1">Inputparam!AR22 *AR50</f>
        <v>0</v>
      </c>
      <c r="AS36" s="88">
        <f ca="1">Inputparam!AS22 *AS50</f>
        <v>0</v>
      </c>
      <c r="AT36" s="88">
        <f ca="1">Inputparam!AT22 *AT50</f>
        <v>0</v>
      </c>
      <c r="AU36" s="88">
        <f ca="1">Inputparam!AU22 *AU50</f>
        <v>0</v>
      </c>
      <c r="AV36" s="88">
        <f ca="1">Inputparam!AV22 *AV50</f>
        <v>0</v>
      </c>
      <c r="AW36" s="88">
        <f ca="1">Inputparam!AW22 *AW50</f>
        <v>0</v>
      </c>
      <c r="AX36" s="88">
        <f ca="1">Inputparam!AX22 *AX50</f>
        <v>0</v>
      </c>
      <c r="AY36" s="88">
        <f ca="1">Inputparam!AY22 *AY50</f>
        <v>0</v>
      </c>
      <c r="AZ36" s="88">
        <f ca="1">Inputparam!AZ22 *AZ50</f>
        <v>0</v>
      </c>
    </row>
    <row r="37" spans="1:58" s="94" customFormat="1" ht="5.25" customHeight="1">
      <c r="B37" s="157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</row>
    <row r="38" spans="1:58" s="86" customFormat="1">
      <c r="B38" s="87" t="str">
        <f>VLOOKUP("T.04.20", Translation,IF(Language="DE",2,IF(Language="FR",3,4)),FALSE)</f>
        <v>Umlagebeiträge</v>
      </c>
      <c r="C38" s="89">
        <f xml:space="preserve"> - ABS(UVG_Input_Data!C31)</f>
        <v>0</v>
      </c>
      <c r="D38" s="89">
        <f xml:space="preserve"> - ABS(UVG_Input_Data!D31)</f>
        <v>0</v>
      </c>
      <c r="E38" s="89">
        <f xml:space="preserve"> - ABS(UVG_Input_Data!E31)</f>
        <v>0</v>
      </c>
      <c r="F38" s="89">
        <f xml:space="preserve"> - ABS(UVG_Input_Data!F31)</f>
        <v>0</v>
      </c>
      <c r="G38" s="89">
        <f xml:space="preserve"> - ABS(UVG_Input_Data!G31)</f>
        <v>0</v>
      </c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</row>
    <row r="39" spans="1:58" s="86" customFormat="1">
      <c r="B39" s="87" t="str">
        <f>VLOOKUP("T.04.21", Translation,IF(Language="DE",2,IF(Language="FR",3,4)),FALSE)</f>
        <v>Ausgleichszahlungen</v>
      </c>
      <c r="C39" s="88">
        <f ca="1">MIN(UVG_Input_Data!$C$33, C50 + C33 - C38 - C27)</f>
        <v>0</v>
      </c>
      <c r="D39" s="88">
        <f ca="1">MIN(UVG_Input_Data!$C$33, D50 + D33 - D38 - D27)</f>
        <v>0</v>
      </c>
      <c r="E39" s="88">
        <f ca="1">MIN(UVG_Input_Data!$C$33, E50 + E33 - E38 - E27)</f>
        <v>0</v>
      </c>
      <c r="F39" s="88">
        <f ca="1">MIN(UVG_Input_Data!$C$33, F50 + F33 - F38 - F27)</f>
        <v>0</v>
      </c>
      <c r="G39" s="88">
        <f ca="1">MIN(UVG_Input_Data!$C$33, G50 + G33 - G38 - G27)</f>
        <v>0</v>
      </c>
      <c r="H39" s="88">
        <f ca="1">MIN(UVG_Input_Data!$C$33, H50 + H33 - H27)</f>
        <v>0</v>
      </c>
      <c r="I39" s="88">
        <f ca="1">MIN(UVG_Input_Data!$C$33, I50 + I33 - I27)</f>
        <v>0</v>
      </c>
      <c r="J39" s="88">
        <f ca="1">MIN(UVG_Input_Data!$C$33, J50 + J33 - J27)</f>
        <v>0</v>
      </c>
      <c r="K39" s="88">
        <f ca="1">MIN(UVG_Input_Data!$C$33, K50 + K33 - K27)</f>
        <v>0</v>
      </c>
      <c r="L39" s="88">
        <f ca="1">MIN(UVG_Input_Data!$C$33, L50 + L33 - L27)</f>
        <v>0</v>
      </c>
      <c r="M39" s="88">
        <f ca="1">MIN(UVG_Input_Data!$C$33, M50 + M33 - M27)</f>
        <v>0</v>
      </c>
      <c r="N39" s="88">
        <f ca="1">MIN(UVG_Input_Data!$C$33, N50 + N33 - N27)</f>
        <v>0</v>
      </c>
      <c r="O39" s="88">
        <f ca="1">MIN(UVG_Input_Data!$C$33, O50 + O33 - O27)</f>
        <v>0</v>
      </c>
      <c r="P39" s="88">
        <f ca="1">MIN(UVG_Input_Data!$C$33, P50 + P33 - P27)</f>
        <v>0</v>
      </c>
      <c r="Q39" s="88">
        <f ca="1">MIN(UVG_Input_Data!$C$33, Q50 + Q33 - Q27)</f>
        <v>0</v>
      </c>
      <c r="R39" s="88">
        <f ca="1">MIN(UVG_Input_Data!$C$33, R50 + R33 - R27)</f>
        <v>0</v>
      </c>
      <c r="S39" s="88">
        <f ca="1">MIN(UVG_Input_Data!$C$33, S50 + S33 - S27)</f>
        <v>0</v>
      </c>
      <c r="T39" s="88">
        <f ca="1">MIN(UVG_Input_Data!$C$33, T50 + T33 - T27)</f>
        <v>0</v>
      </c>
      <c r="U39" s="88">
        <f ca="1">MIN(UVG_Input_Data!$C$33, U50 + U33 - U27)</f>
        <v>0</v>
      </c>
      <c r="V39" s="88">
        <f ca="1">MIN(UVG_Input_Data!$C$33, V50 + V33 - V27)</f>
        <v>0</v>
      </c>
      <c r="W39" s="88">
        <f ca="1">MIN(UVG_Input_Data!$C$33, W50 + W33 - W27)</f>
        <v>0</v>
      </c>
      <c r="X39" s="88">
        <f ca="1">MIN(UVG_Input_Data!$C$33, X50 + X33 - X27)</f>
        <v>0</v>
      </c>
      <c r="Y39" s="88">
        <f ca="1">MIN(UVG_Input_Data!$C$33, Y50 + Y33 - Y27)</f>
        <v>0</v>
      </c>
      <c r="Z39" s="88">
        <f ca="1">MIN(UVG_Input_Data!$C$33, Z50 + Z33 - Z27)</f>
        <v>0</v>
      </c>
      <c r="AA39" s="88">
        <f ca="1">MIN(UVG_Input_Data!$C$33, AA50 + AA33 - AA27)</f>
        <v>0</v>
      </c>
      <c r="AB39" s="88">
        <f ca="1">MIN(UVG_Input_Data!$C$33, AB50 + AB33 - AB27)</f>
        <v>0</v>
      </c>
      <c r="AC39" s="88">
        <f ca="1">MIN(UVG_Input_Data!$C$33, AC50 + AC33 - AC27)</f>
        <v>0</v>
      </c>
      <c r="AD39" s="88">
        <f ca="1">MIN(UVG_Input_Data!$C$33, AD50 + AD33 - AD27)</f>
        <v>0</v>
      </c>
      <c r="AE39" s="88">
        <f ca="1">MIN(UVG_Input_Data!$C$33, AE50 + AE33 - AE27)</f>
        <v>0</v>
      </c>
      <c r="AF39" s="88">
        <f ca="1">MIN(UVG_Input_Data!$C$33, AF50 + AF33 - AF27)</f>
        <v>0</v>
      </c>
      <c r="AG39" s="88">
        <f ca="1">MIN(UVG_Input_Data!$C$33, AG50 + AG33 - AG27)</f>
        <v>0</v>
      </c>
      <c r="AH39" s="88">
        <f ca="1">MIN(UVG_Input_Data!$C$33, AH50 + AH33 - AH27)</f>
        <v>0</v>
      </c>
      <c r="AI39" s="88">
        <f ca="1">MIN(UVG_Input_Data!$C$33, AI50 + AI33 - AI27)</f>
        <v>0</v>
      </c>
      <c r="AJ39" s="88">
        <f ca="1">MIN(UVG_Input_Data!$C$33, AJ50 + AJ33 - AJ27)</f>
        <v>0</v>
      </c>
      <c r="AK39" s="88">
        <f ca="1">MIN(UVG_Input_Data!$C$33, AK50 + AK33 - AK27)</f>
        <v>0</v>
      </c>
      <c r="AL39" s="88">
        <f ca="1">MIN(UVG_Input_Data!$C$33, AL50 + AL33 - AL27)</f>
        <v>0</v>
      </c>
      <c r="AM39" s="88">
        <f ca="1">MIN(UVG_Input_Data!$C$33, AM50 + AM33 - AM27)</f>
        <v>0</v>
      </c>
      <c r="AN39" s="88">
        <f ca="1">MIN(UVG_Input_Data!$C$33, AN50 + AN33 - AN27)</f>
        <v>0</v>
      </c>
      <c r="AO39" s="88">
        <f ca="1">MIN(UVG_Input_Data!$C$33, AO50 + AO33 - AO27)</f>
        <v>0</v>
      </c>
      <c r="AP39" s="88">
        <f ca="1">MIN(UVG_Input_Data!$C$33, AP50 + AP33 - AP27)</f>
        <v>0</v>
      </c>
      <c r="AQ39" s="88">
        <f ca="1">MIN(UVG_Input_Data!$C$33, AQ50 + AQ33 - AQ27)</f>
        <v>0</v>
      </c>
      <c r="AR39" s="88">
        <f ca="1">MIN(UVG_Input_Data!$C$33, AR50 + AR33 - AR27)</f>
        <v>0</v>
      </c>
      <c r="AS39" s="88">
        <f ca="1">MIN(UVG_Input_Data!$C$33, AS50 + AS33 - AS27)</f>
        <v>0</v>
      </c>
      <c r="AT39" s="88">
        <f ca="1">MIN(UVG_Input_Data!$C$33, AT50 + AT33 - AT27)</f>
        <v>0</v>
      </c>
      <c r="AU39" s="88">
        <f ca="1">MIN(UVG_Input_Data!$C$33, AU50 + AU33 - AU27)</f>
        <v>0</v>
      </c>
      <c r="AV39" s="88">
        <f ca="1">MIN(UVG_Input_Data!$C$33, AV50 + AV33 - AV27)</f>
        <v>0</v>
      </c>
      <c r="AW39" s="88">
        <f ca="1">MIN(UVG_Input_Data!$C$33, AW50 + AW33 - AW27)</f>
        <v>0</v>
      </c>
      <c r="AX39" s="88">
        <f ca="1">MIN(UVG_Input_Data!$C$33, AX50 + AX33 - AX27)</f>
        <v>0</v>
      </c>
      <c r="AY39" s="88">
        <f ca="1">MIN(UVG_Input_Data!$C$33, AY50 + AY33 - AY27)</f>
        <v>0</v>
      </c>
      <c r="AZ39" s="88">
        <f ca="1">MIN(UVG_Input_Data!$C$33, AZ50 + AZ33 - AZ27)</f>
        <v>0</v>
      </c>
    </row>
    <row r="40" spans="1:58" s="94" customFormat="1">
      <c r="B40" s="87" t="str">
        <f>VLOOKUP("T.04.22", Translation,IF(Language="DE",2,IF(Language="FR",3,4)),FALSE)</f>
        <v>Auszahlung des Teuerungsfonds am Ende der Abwicklung</v>
      </c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 s="88">
        <f ca="1">MAX(AZ50 + AZ33 - AZ27 - UVG_Input_Data!$C$33, 0)</f>
        <v>0</v>
      </c>
    </row>
    <row r="41" spans="1:58">
      <c r="A41" s="32"/>
      <c r="B41" s="33"/>
    </row>
    <row r="42" spans="1:58" ht="15">
      <c r="B42" s="4" t="str">
        <f>VLOOKUP("T.04.24", Translation,IF(Language="DE",2,IF(Language="FR",3,4)),FALSE)</f>
        <v>Entwicklung der Verpflichtungen über die Zeit (in Mio. CHF; jeweils am Anfang des Jahres)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</row>
    <row r="43" spans="1:58" ht="15">
      <c r="B43" s="35"/>
      <c r="C43" s="30" t="str">
        <f>_start &amp; C44</f>
        <v>Anfang 2025</v>
      </c>
      <c r="D43" s="30" t="str">
        <f>_start &amp; D44</f>
        <v>Anfang 2026</v>
      </c>
      <c r="E43" s="30" t="str">
        <f>_start &amp; E44</f>
        <v>Anfang 2027</v>
      </c>
      <c r="F43" s="30" t="str">
        <f>_start &amp; F44</f>
        <v>Anfang 2028</v>
      </c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0" t="str">
        <f>_start &amp; AZ44</f>
        <v>Anfang 2074</v>
      </c>
    </row>
    <row r="44" spans="1:58" s="27" customFormat="1" ht="12.75" customHeight="1">
      <c r="B44" s="28"/>
      <c r="C44" s="85">
        <f t="shared" ref="C44:AH44" si="5">current_year +C23-1</f>
        <v>2025</v>
      </c>
      <c r="D44" s="85">
        <f t="shared" si="5"/>
        <v>2026</v>
      </c>
      <c r="E44" s="85">
        <f t="shared" si="5"/>
        <v>2027</v>
      </c>
      <c r="F44" s="85">
        <f t="shared" si="5"/>
        <v>2028</v>
      </c>
      <c r="G44" s="85">
        <f t="shared" si="5"/>
        <v>2029</v>
      </c>
      <c r="H44" s="85">
        <f t="shared" si="5"/>
        <v>2030</v>
      </c>
      <c r="I44" s="85">
        <f t="shared" si="5"/>
        <v>2031</v>
      </c>
      <c r="J44" s="85">
        <f t="shared" si="5"/>
        <v>2032</v>
      </c>
      <c r="K44" s="85">
        <f t="shared" si="5"/>
        <v>2033</v>
      </c>
      <c r="L44" s="85">
        <f t="shared" si="5"/>
        <v>2034</v>
      </c>
      <c r="M44" s="85">
        <f t="shared" si="5"/>
        <v>2035</v>
      </c>
      <c r="N44" s="85">
        <f t="shared" si="5"/>
        <v>2036</v>
      </c>
      <c r="O44" s="85">
        <f t="shared" si="5"/>
        <v>2037</v>
      </c>
      <c r="P44" s="85">
        <f t="shared" si="5"/>
        <v>2038</v>
      </c>
      <c r="Q44" s="85">
        <f t="shared" si="5"/>
        <v>2039</v>
      </c>
      <c r="R44" s="85">
        <f t="shared" si="5"/>
        <v>2040</v>
      </c>
      <c r="S44" s="85">
        <f t="shared" si="5"/>
        <v>2041</v>
      </c>
      <c r="T44" s="85">
        <f t="shared" si="5"/>
        <v>2042</v>
      </c>
      <c r="U44" s="85">
        <f t="shared" si="5"/>
        <v>2043</v>
      </c>
      <c r="V44" s="85">
        <f t="shared" si="5"/>
        <v>2044</v>
      </c>
      <c r="W44" s="85">
        <f t="shared" si="5"/>
        <v>2045</v>
      </c>
      <c r="X44" s="85">
        <f t="shared" si="5"/>
        <v>2046</v>
      </c>
      <c r="Y44" s="85">
        <f t="shared" si="5"/>
        <v>2047</v>
      </c>
      <c r="Z44" s="85">
        <f t="shared" si="5"/>
        <v>2048</v>
      </c>
      <c r="AA44" s="85">
        <f t="shared" si="5"/>
        <v>2049</v>
      </c>
      <c r="AB44" s="85">
        <f t="shared" si="5"/>
        <v>2050</v>
      </c>
      <c r="AC44" s="85">
        <f t="shared" si="5"/>
        <v>2051</v>
      </c>
      <c r="AD44" s="85">
        <f t="shared" si="5"/>
        <v>2052</v>
      </c>
      <c r="AE44" s="85">
        <f t="shared" si="5"/>
        <v>2053</v>
      </c>
      <c r="AF44" s="85">
        <f t="shared" si="5"/>
        <v>2054</v>
      </c>
      <c r="AG44" s="85">
        <f t="shared" si="5"/>
        <v>2055</v>
      </c>
      <c r="AH44" s="85">
        <f t="shared" si="5"/>
        <v>2056</v>
      </c>
      <c r="AI44" s="85">
        <f t="shared" ref="AI44:AZ44" si="6">current_year +AI23-1</f>
        <v>2057</v>
      </c>
      <c r="AJ44" s="85">
        <f t="shared" si="6"/>
        <v>2058</v>
      </c>
      <c r="AK44" s="85">
        <f t="shared" si="6"/>
        <v>2059</v>
      </c>
      <c r="AL44" s="85">
        <f t="shared" si="6"/>
        <v>2060</v>
      </c>
      <c r="AM44" s="85">
        <f t="shared" si="6"/>
        <v>2061</v>
      </c>
      <c r="AN44" s="85">
        <f t="shared" si="6"/>
        <v>2062</v>
      </c>
      <c r="AO44" s="85">
        <f t="shared" si="6"/>
        <v>2063</v>
      </c>
      <c r="AP44" s="85">
        <f t="shared" si="6"/>
        <v>2064</v>
      </c>
      <c r="AQ44" s="85">
        <f t="shared" si="6"/>
        <v>2065</v>
      </c>
      <c r="AR44" s="85">
        <f t="shared" si="6"/>
        <v>2066</v>
      </c>
      <c r="AS44" s="85">
        <f t="shared" si="6"/>
        <v>2067</v>
      </c>
      <c r="AT44" s="85">
        <f t="shared" si="6"/>
        <v>2068</v>
      </c>
      <c r="AU44" s="85">
        <f t="shared" si="6"/>
        <v>2069</v>
      </c>
      <c r="AV44" s="85">
        <f t="shared" si="6"/>
        <v>2070</v>
      </c>
      <c r="AW44" s="85">
        <f t="shared" si="6"/>
        <v>2071</v>
      </c>
      <c r="AX44" s="85">
        <f t="shared" si="6"/>
        <v>2072</v>
      </c>
      <c r="AY44" s="85">
        <f t="shared" si="6"/>
        <v>2073</v>
      </c>
      <c r="AZ44" s="85">
        <f t="shared" si="6"/>
        <v>2074</v>
      </c>
      <c r="BA44" s="86"/>
      <c r="BB44" s="86"/>
      <c r="BC44" s="86"/>
      <c r="BD44" s="86"/>
      <c r="BE44" s="86"/>
      <c r="BF44" s="86"/>
    </row>
    <row r="45" spans="1:58" s="86" customFormat="1">
      <c r="B45" s="90" t="str">
        <f>VLOOKUP("T.04.25", Translation,IF(Language="DE",2,IF(Language="FR",3,4)),FALSE)</f>
        <v>Statutarische Deckungskapital für Grundrente, davon</v>
      </c>
      <c r="C45" s="88">
        <f>SUM(C46:C47)</f>
        <v>0</v>
      </c>
      <c r="D45" s="88">
        <f ca="1">SUM(D46:D47)</f>
        <v>0</v>
      </c>
      <c r="E45" s="88">
        <f t="shared" ref="E45:AZ45" ca="1" si="7">SUM(E46:E47)</f>
        <v>0</v>
      </c>
      <c r="F45" s="88">
        <f t="shared" ca="1" si="7"/>
        <v>0</v>
      </c>
      <c r="G45" s="88">
        <f t="shared" ca="1" si="7"/>
        <v>0</v>
      </c>
      <c r="H45" s="88">
        <f t="shared" ca="1" si="7"/>
        <v>0</v>
      </c>
      <c r="I45" s="88">
        <f t="shared" ca="1" si="7"/>
        <v>0</v>
      </c>
      <c r="J45" s="88">
        <f t="shared" ca="1" si="7"/>
        <v>0</v>
      </c>
      <c r="K45" s="88">
        <f t="shared" ca="1" si="7"/>
        <v>0</v>
      </c>
      <c r="L45" s="88">
        <f t="shared" ca="1" si="7"/>
        <v>0</v>
      </c>
      <c r="M45" s="88">
        <f t="shared" ca="1" si="7"/>
        <v>0</v>
      </c>
      <c r="N45" s="88">
        <f t="shared" ca="1" si="7"/>
        <v>0</v>
      </c>
      <c r="O45" s="88">
        <f t="shared" ca="1" si="7"/>
        <v>0</v>
      </c>
      <c r="P45" s="88">
        <f t="shared" ca="1" si="7"/>
        <v>0</v>
      </c>
      <c r="Q45" s="88">
        <f t="shared" ca="1" si="7"/>
        <v>0</v>
      </c>
      <c r="R45" s="88">
        <f t="shared" ca="1" si="7"/>
        <v>0</v>
      </c>
      <c r="S45" s="88">
        <f t="shared" ca="1" si="7"/>
        <v>0</v>
      </c>
      <c r="T45" s="88">
        <f t="shared" ca="1" si="7"/>
        <v>0</v>
      </c>
      <c r="U45" s="88">
        <f t="shared" ca="1" si="7"/>
        <v>0</v>
      </c>
      <c r="V45" s="88">
        <f t="shared" ca="1" si="7"/>
        <v>0</v>
      </c>
      <c r="W45" s="88">
        <f t="shared" ca="1" si="7"/>
        <v>0</v>
      </c>
      <c r="X45" s="88">
        <f t="shared" ca="1" si="7"/>
        <v>0</v>
      </c>
      <c r="Y45" s="88">
        <f t="shared" ca="1" si="7"/>
        <v>0</v>
      </c>
      <c r="Z45" s="88">
        <f t="shared" ca="1" si="7"/>
        <v>0</v>
      </c>
      <c r="AA45" s="88">
        <f t="shared" ca="1" si="7"/>
        <v>0</v>
      </c>
      <c r="AB45" s="88">
        <f t="shared" ca="1" si="7"/>
        <v>0</v>
      </c>
      <c r="AC45" s="88">
        <f t="shared" ca="1" si="7"/>
        <v>0</v>
      </c>
      <c r="AD45" s="88">
        <f t="shared" ca="1" si="7"/>
        <v>0</v>
      </c>
      <c r="AE45" s="88">
        <f t="shared" ca="1" si="7"/>
        <v>0</v>
      </c>
      <c r="AF45" s="88">
        <f t="shared" ca="1" si="7"/>
        <v>0</v>
      </c>
      <c r="AG45" s="88">
        <f t="shared" ca="1" si="7"/>
        <v>0</v>
      </c>
      <c r="AH45" s="88">
        <f t="shared" ca="1" si="7"/>
        <v>0</v>
      </c>
      <c r="AI45" s="88">
        <f t="shared" ca="1" si="7"/>
        <v>0</v>
      </c>
      <c r="AJ45" s="88">
        <f t="shared" ca="1" si="7"/>
        <v>0</v>
      </c>
      <c r="AK45" s="88">
        <f t="shared" ca="1" si="7"/>
        <v>0</v>
      </c>
      <c r="AL45" s="88">
        <f t="shared" ca="1" si="7"/>
        <v>0</v>
      </c>
      <c r="AM45" s="88">
        <f t="shared" ca="1" si="7"/>
        <v>0</v>
      </c>
      <c r="AN45" s="88">
        <f t="shared" ca="1" si="7"/>
        <v>0</v>
      </c>
      <c r="AO45" s="88">
        <f t="shared" ca="1" si="7"/>
        <v>0</v>
      </c>
      <c r="AP45" s="88">
        <f t="shared" ca="1" si="7"/>
        <v>0</v>
      </c>
      <c r="AQ45" s="88">
        <f t="shared" ca="1" si="7"/>
        <v>0</v>
      </c>
      <c r="AR45" s="88">
        <f t="shared" ca="1" si="7"/>
        <v>0</v>
      </c>
      <c r="AS45" s="88">
        <f t="shared" ca="1" si="7"/>
        <v>0</v>
      </c>
      <c r="AT45" s="88">
        <f t="shared" ca="1" si="7"/>
        <v>0</v>
      </c>
      <c r="AU45" s="88">
        <f t="shared" ca="1" si="7"/>
        <v>0</v>
      </c>
      <c r="AV45" s="88">
        <f t="shared" ca="1" si="7"/>
        <v>0</v>
      </c>
      <c r="AW45" s="88">
        <f t="shared" ca="1" si="7"/>
        <v>0</v>
      </c>
      <c r="AX45" s="88">
        <f t="shared" ca="1" si="7"/>
        <v>0</v>
      </c>
      <c r="AY45" s="88">
        <f t="shared" ca="1" si="7"/>
        <v>0</v>
      </c>
      <c r="AZ45" s="88">
        <f t="shared" ca="1" si="7"/>
        <v>0</v>
      </c>
    </row>
    <row r="46" spans="1:58" s="86" customFormat="1">
      <c r="B46" s="156" t="str">
        <f>VLOOKUP("T.04.14", Translation,IF(Language="DE",2,IF(Language="FR",3,4)),FALSE)</f>
        <v>für bisherigen Renten</v>
      </c>
      <c r="C46" s="88">
        <f>UVG_Input_Data!C9</f>
        <v>0</v>
      </c>
      <c r="D46" s="88">
        <f>SUMPRODUCT(D24:BA24,Inputparam!$C$34:$AZ$34)</f>
        <v>0</v>
      </c>
      <c r="E46" s="88">
        <f>SUMPRODUCT(E24:BB24,Inputparam!$C$34:$AZ$34)</f>
        <v>0</v>
      </c>
      <c r="F46" s="88">
        <f>SUMPRODUCT(F24:BC24,Inputparam!$C$34:$AZ$34)</f>
        <v>0</v>
      </c>
      <c r="G46" s="88">
        <f>SUMPRODUCT(G24:BD24,Inputparam!$C$34:$AZ$34)</f>
        <v>0</v>
      </c>
      <c r="H46" s="88">
        <f>SUMPRODUCT(H24:BE24,Inputparam!$C$34:$AZ$34)</f>
        <v>0</v>
      </c>
      <c r="I46" s="88">
        <f>SUMPRODUCT(I24:BF24,Inputparam!$C$34:$AZ$34)</f>
        <v>0</v>
      </c>
      <c r="J46" s="88">
        <f>SUMPRODUCT(J24:BG24,Inputparam!$C$34:$AZ$34)</f>
        <v>0</v>
      </c>
      <c r="K46" s="88">
        <f>SUMPRODUCT(K24:BH24,Inputparam!$C$34:$AZ$34)</f>
        <v>0</v>
      </c>
      <c r="L46" s="88">
        <f>SUMPRODUCT(L24:BI24,Inputparam!$C$34:$AZ$34)</f>
        <v>0</v>
      </c>
      <c r="M46" s="88">
        <f>SUMPRODUCT(M24:BJ24,Inputparam!$C$34:$AZ$34)</f>
        <v>0</v>
      </c>
      <c r="N46" s="88">
        <f>SUMPRODUCT(N24:BK24,Inputparam!$C$34:$AZ$34)</f>
        <v>0</v>
      </c>
      <c r="O46" s="88">
        <f>SUMPRODUCT(O24:BL24,Inputparam!$C$34:$AZ$34)</f>
        <v>0</v>
      </c>
      <c r="P46" s="88">
        <f>SUMPRODUCT(P24:BM24,Inputparam!$C$34:$AZ$34)</f>
        <v>0</v>
      </c>
      <c r="Q46" s="88">
        <f>SUMPRODUCT(Q24:BN24,Inputparam!$C$34:$AZ$34)</f>
        <v>0</v>
      </c>
      <c r="R46" s="88">
        <f>SUMPRODUCT(R24:BO24,Inputparam!$C$34:$AZ$34)</f>
        <v>0</v>
      </c>
      <c r="S46" s="88">
        <f>SUMPRODUCT(S24:BP24,Inputparam!$C$34:$AZ$34)</f>
        <v>0</v>
      </c>
      <c r="T46" s="88">
        <f>SUMPRODUCT(T24:BQ24,Inputparam!$C$34:$AZ$34)</f>
        <v>0</v>
      </c>
      <c r="U46" s="88">
        <f>SUMPRODUCT(U24:BR24,Inputparam!$C$34:$AZ$34)</f>
        <v>0</v>
      </c>
      <c r="V46" s="88">
        <f>SUMPRODUCT(V24:BS24,Inputparam!$C$34:$AZ$34)</f>
        <v>0</v>
      </c>
      <c r="W46" s="88">
        <f>SUMPRODUCT(W24:BT24,Inputparam!$C$34:$AZ$34)</f>
        <v>0</v>
      </c>
      <c r="X46" s="88">
        <f>SUMPRODUCT(X24:BU24,Inputparam!$C$34:$AZ$34)</f>
        <v>0</v>
      </c>
      <c r="Y46" s="88">
        <f>SUMPRODUCT(Y24:BV24,Inputparam!$C$34:$AZ$34)</f>
        <v>0</v>
      </c>
      <c r="Z46" s="88">
        <f>SUMPRODUCT(Z24:BW24,Inputparam!$C$34:$AZ$34)</f>
        <v>0</v>
      </c>
      <c r="AA46" s="88">
        <f>SUMPRODUCT(AA24:BX24,Inputparam!$C$34:$AZ$34)</f>
        <v>0</v>
      </c>
      <c r="AB46" s="88">
        <f>SUMPRODUCT(AB24:BY24,Inputparam!$C$34:$AZ$34)</f>
        <v>0</v>
      </c>
      <c r="AC46" s="88">
        <f>SUMPRODUCT(AC24:BZ24,Inputparam!$C$34:$AZ$34)</f>
        <v>0</v>
      </c>
      <c r="AD46" s="88">
        <f>SUMPRODUCT(AD24:CA24,Inputparam!$C$34:$AZ$34)</f>
        <v>0</v>
      </c>
      <c r="AE46" s="88">
        <f>SUMPRODUCT(AE24:CB24,Inputparam!$C$34:$AZ$34)</f>
        <v>0</v>
      </c>
      <c r="AF46" s="88">
        <f>SUMPRODUCT(AF24:CC24,Inputparam!$C$34:$AZ$34)</f>
        <v>0</v>
      </c>
      <c r="AG46" s="88">
        <f>SUMPRODUCT(AG24:CD24,Inputparam!$C$34:$AZ$34)</f>
        <v>0</v>
      </c>
      <c r="AH46" s="88">
        <f>SUMPRODUCT(AH24:CE24,Inputparam!$C$34:$AZ$34)</f>
        <v>0</v>
      </c>
      <c r="AI46" s="88">
        <f>SUMPRODUCT(AI24:CF24,Inputparam!$C$34:$AZ$34)</f>
        <v>0</v>
      </c>
      <c r="AJ46" s="88">
        <f>SUMPRODUCT(AJ24:CG24,Inputparam!$C$34:$AZ$34)</f>
        <v>0</v>
      </c>
      <c r="AK46" s="88">
        <f>SUMPRODUCT(AK24:CH24,Inputparam!$C$34:$AZ$34)</f>
        <v>0</v>
      </c>
      <c r="AL46" s="88">
        <f>SUMPRODUCT(AL24:CI24,Inputparam!$C$34:$AZ$34)</f>
        <v>0</v>
      </c>
      <c r="AM46" s="88">
        <f>SUMPRODUCT(AM24:CJ24,Inputparam!$C$34:$AZ$34)</f>
        <v>0</v>
      </c>
      <c r="AN46" s="88">
        <f>SUMPRODUCT(AN24:CK24,Inputparam!$C$34:$AZ$34)</f>
        <v>0</v>
      </c>
      <c r="AO46" s="88">
        <f>SUMPRODUCT(AO24:CL24,Inputparam!$C$34:$AZ$34)</f>
        <v>0</v>
      </c>
      <c r="AP46" s="88">
        <f>SUMPRODUCT(AP24:CM24,Inputparam!$C$34:$AZ$34)</f>
        <v>0</v>
      </c>
      <c r="AQ46" s="88">
        <f>SUMPRODUCT(AQ24:CN24,Inputparam!$C$34:$AZ$34)</f>
        <v>0</v>
      </c>
      <c r="AR46" s="88">
        <f>SUMPRODUCT(AR24:CO24,Inputparam!$C$34:$AZ$34)</f>
        <v>0</v>
      </c>
      <c r="AS46" s="88">
        <f>SUMPRODUCT(AS24:CP24,Inputparam!$C$34:$AZ$34)</f>
        <v>0</v>
      </c>
      <c r="AT46" s="88">
        <f>SUMPRODUCT(AT24:CQ24,Inputparam!$C$34:$AZ$34)</f>
        <v>0</v>
      </c>
      <c r="AU46" s="88">
        <f>SUMPRODUCT(AU24:CR24,Inputparam!$C$34:$AZ$34)</f>
        <v>0</v>
      </c>
      <c r="AV46" s="88">
        <f>SUMPRODUCT(AV24:CS24,Inputparam!$C$34:$AZ$34)</f>
        <v>0</v>
      </c>
      <c r="AW46" s="88">
        <f>SUMPRODUCT(AW24:CT24,Inputparam!$C$34:$AZ$34)</f>
        <v>0</v>
      </c>
      <c r="AX46" s="88">
        <f>SUMPRODUCT(AX24:CU24,Inputparam!$C$34:$AZ$34)</f>
        <v>0</v>
      </c>
      <c r="AY46" s="88">
        <f>SUMPRODUCT(AY24:CV24,Inputparam!$C$34:$AZ$34)</f>
        <v>0</v>
      </c>
      <c r="AZ46" s="88">
        <f>SUMPRODUCT(AZ24:CW24,Inputparam!$C$34:$AZ$34)</f>
        <v>0</v>
      </c>
    </row>
    <row r="47" spans="1:58" s="86" customFormat="1">
      <c r="B47" s="156" t="str">
        <f>VLOOKUP("T.04.15", Translation,IF(Language="DE",2,IF(Language="FR",3,4)),FALSE)</f>
        <v>für neue Renten</v>
      </c>
      <c r="C47" s="183">
        <v>0</v>
      </c>
      <c r="D47" s="183">
        <f ca="1" xml:space="preserve"> SUM(UVG_Calculations!C58:C78)</f>
        <v>0</v>
      </c>
      <c r="E47" s="183">
        <f ca="1" xml:space="preserve"> SUM(UVG_Calculations!D58:D78)</f>
        <v>0</v>
      </c>
      <c r="F47" s="183">
        <f ca="1" xml:space="preserve"> SUM(UVG_Calculations!E58:E78)</f>
        <v>0</v>
      </c>
      <c r="G47" s="183">
        <f ca="1" xml:space="preserve"> SUM(UVG_Calculations!F58:F78)</f>
        <v>0</v>
      </c>
      <c r="H47" s="183">
        <f ca="1" xml:space="preserve"> SUM(UVG_Calculations!G58:G78)</f>
        <v>0</v>
      </c>
      <c r="I47" s="183">
        <f ca="1" xml:space="preserve"> SUM(UVG_Calculations!H58:H78)</f>
        <v>0</v>
      </c>
      <c r="J47" s="183">
        <f ca="1" xml:space="preserve"> SUM(UVG_Calculations!I58:I78)</f>
        <v>0</v>
      </c>
      <c r="K47" s="183">
        <f ca="1" xml:space="preserve"> SUM(UVG_Calculations!J58:J78)</f>
        <v>0</v>
      </c>
      <c r="L47" s="183">
        <f ca="1" xml:space="preserve"> SUM(UVG_Calculations!K58:K78)</f>
        <v>0</v>
      </c>
      <c r="M47" s="183">
        <f ca="1" xml:space="preserve"> SUM(UVG_Calculations!L58:L78)</f>
        <v>0</v>
      </c>
      <c r="N47" s="183">
        <f ca="1" xml:space="preserve"> SUM(UVG_Calculations!M58:M78)</f>
        <v>0</v>
      </c>
      <c r="O47" s="183">
        <f ca="1" xml:space="preserve"> SUM(UVG_Calculations!N58:N78)</f>
        <v>0</v>
      </c>
      <c r="P47" s="183">
        <f ca="1" xml:space="preserve"> SUM(UVG_Calculations!O58:O78)</f>
        <v>0</v>
      </c>
      <c r="Q47" s="183">
        <f ca="1" xml:space="preserve"> SUM(UVG_Calculations!P58:P78)</f>
        <v>0</v>
      </c>
      <c r="R47" s="183">
        <f ca="1" xml:space="preserve"> SUM(UVG_Calculations!Q58:Q78)</f>
        <v>0</v>
      </c>
      <c r="S47" s="183">
        <f ca="1" xml:space="preserve"> SUM(UVG_Calculations!R58:R78)</f>
        <v>0</v>
      </c>
      <c r="T47" s="183">
        <f ca="1" xml:space="preserve"> SUM(UVG_Calculations!S58:S78)</f>
        <v>0</v>
      </c>
      <c r="U47" s="183">
        <f ca="1" xml:space="preserve"> SUM(UVG_Calculations!T58:T78)</f>
        <v>0</v>
      </c>
      <c r="V47" s="183">
        <f ca="1" xml:space="preserve"> SUM(UVG_Calculations!U58:U78)</f>
        <v>0</v>
      </c>
      <c r="W47" s="183">
        <f ca="1" xml:space="preserve"> SUM(UVG_Calculations!V58:V78)</f>
        <v>0</v>
      </c>
      <c r="X47" s="183">
        <f ca="1" xml:space="preserve"> SUM(UVG_Calculations!W58:W78)</f>
        <v>0</v>
      </c>
      <c r="Y47" s="183">
        <f ca="1" xml:space="preserve"> SUM(UVG_Calculations!X58:X78)</f>
        <v>0</v>
      </c>
      <c r="Z47" s="183">
        <f ca="1" xml:space="preserve"> SUM(UVG_Calculations!Y58:Y78)</f>
        <v>0</v>
      </c>
      <c r="AA47" s="183">
        <f ca="1" xml:space="preserve"> SUM(UVG_Calculations!Z58:Z78)</f>
        <v>0</v>
      </c>
      <c r="AB47" s="183">
        <f ca="1" xml:space="preserve"> SUM(UVG_Calculations!AA58:AA78)</f>
        <v>0</v>
      </c>
      <c r="AC47" s="183">
        <f ca="1" xml:space="preserve"> SUM(UVG_Calculations!AB58:AB78)</f>
        <v>0</v>
      </c>
      <c r="AD47" s="183">
        <f ca="1" xml:space="preserve"> SUM(UVG_Calculations!AC58:AC78)</f>
        <v>0</v>
      </c>
      <c r="AE47" s="183">
        <f ca="1" xml:space="preserve"> SUM(UVG_Calculations!AD58:AD78)</f>
        <v>0</v>
      </c>
      <c r="AF47" s="183">
        <f ca="1" xml:space="preserve"> SUM(UVG_Calculations!AE58:AE78)</f>
        <v>0</v>
      </c>
      <c r="AG47" s="183">
        <f ca="1" xml:space="preserve"> SUM(UVG_Calculations!AF58:AF78)</f>
        <v>0</v>
      </c>
      <c r="AH47" s="183">
        <f ca="1" xml:space="preserve"> SUM(UVG_Calculations!AG58:AG78)</f>
        <v>0</v>
      </c>
      <c r="AI47" s="183">
        <f ca="1" xml:space="preserve"> SUM(UVG_Calculations!AH58:AH78)</f>
        <v>0</v>
      </c>
      <c r="AJ47" s="183">
        <f ca="1" xml:space="preserve"> SUM(UVG_Calculations!AI58:AI78)</f>
        <v>0</v>
      </c>
      <c r="AK47" s="183">
        <f ca="1" xml:space="preserve"> SUM(UVG_Calculations!AJ58:AJ78)</f>
        <v>0</v>
      </c>
      <c r="AL47" s="183">
        <f ca="1" xml:space="preserve"> SUM(UVG_Calculations!AK58:AK78)</f>
        <v>0</v>
      </c>
      <c r="AM47" s="183">
        <f ca="1" xml:space="preserve"> SUM(UVG_Calculations!AL58:AL78)</f>
        <v>0</v>
      </c>
      <c r="AN47" s="183">
        <f ca="1" xml:space="preserve"> SUM(UVG_Calculations!AM58:AM78)</f>
        <v>0</v>
      </c>
      <c r="AO47" s="183">
        <f ca="1" xml:space="preserve"> SUM(UVG_Calculations!AN58:AN78)</f>
        <v>0</v>
      </c>
      <c r="AP47" s="183">
        <f ca="1" xml:space="preserve"> SUM(UVG_Calculations!AO58:AO78)</f>
        <v>0</v>
      </c>
      <c r="AQ47" s="183">
        <f ca="1" xml:space="preserve"> SUM(UVG_Calculations!AP58:AP78)</f>
        <v>0</v>
      </c>
      <c r="AR47" s="183">
        <f ca="1" xml:space="preserve"> SUM(UVG_Calculations!AQ58:AQ78)</f>
        <v>0</v>
      </c>
      <c r="AS47" s="183">
        <f ca="1" xml:space="preserve"> SUM(UVG_Calculations!AR58:AR78)</f>
        <v>0</v>
      </c>
      <c r="AT47" s="183">
        <f ca="1" xml:space="preserve"> SUM(UVG_Calculations!AS58:AS78)</f>
        <v>0</v>
      </c>
      <c r="AU47" s="183">
        <f ca="1" xml:space="preserve"> SUM(UVG_Calculations!AT58:AT78)</f>
        <v>0</v>
      </c>
      <c r="AV47" s="183">
        <f ca="1" xml:space="preserve"> SUM(UVG_Calculations!AU58:AU78)</f>
        <v>0</v>
      </c>
      <c r="AW47" s="183">
        <f ca="1" xml:space="preserve"> SUM(UVG_Calculations!AV58:AV78)</f>
        <v>0</v>
      </c>
      <c r="AX47" s="183">
        <f ca="1" xml:space="preserve"> SUM(UVG_Calculations!AW58:AW78)</f>
        <v>0</v>
      </c>
      <c r="AY47" s="183">
        <f ca="1" xml:space="preserve"> SUM(UVG_Calculations!AX58:AX78)</f>
        <v>0</v>
      </c>
      <c r="AZ47" s="183">
        <f ca="1" xml:space="preserve"> SUM(UVG_Calculations!AY58:AY78)</f>
        <v>0</v>
      </c>
    </row>
    <row r="48" spans="1:58" s="86" customFormat="1">
      <c r="B48" s="87" t="str">
        <f>VLOOKUP("T.03.5", Translation,IF(Language="DE",2,IF(Language="FR",3,4)),FALSE)</f>
        <v>Schadenrückstellung für Langfristleistungen</v>
      </c>
      <c r="C48" s="183">
        <f ca="1">UVG_Input_Data!$D$13*SUM(UVG_Input_Data!C67:'UVG_Input_Data'!$AZ67) + IF(UVG_Input_Data!C38&gt;20,0, SUM(OFFSET(UVG_Input_Data!$C$40:$AZ$40, UVG_Input_Data!C$38, UVG_Input_Data!C$38, 21-UVG_Input_Data!C$38,50-UVG_Input_Data!C$38)))</f>
        <v>0</v>
      </c>
      <c r="D48" s="183">
        <f ca="1">UVG_Input_Data!$D$13*SUM(UVG_Input_Data!D67:'UVG_Input_Data'!$AZ67) + IF(UVG_Input_Data!D38&gt;20,0, SUM(OFFSET(UVG_Input_Data!$C$40:$AZ$40, UVG_Input_Data!D$38, UVG_Input_Data!D$38, 21-UVG_Input_Data!D$38,50-UVG_Input_Data!D$38)))</f>
        <v>0</v>
      </c>
      <c r="E48" s="183">
        <f ca="1">UVG_Input_Data!$D$13*SUM(UVG_Input_Data!E67:'UVG_Input_Data'!$AZ67) + IF(UVG_Input_Data!E38&gt;20,0, SUM(OFFSET(UVG_Input_Data!$C$40:$AZ$40, UVG_Input_Data!E$38, UVG_Input_Data!E$38, 21-UVG_Input_Data!E$38,50-UVG_Input_Data!E$38)))</f>
        <v>0</v>
      </c>
      <c r="F48" s="183">
        <f ca="1">UVG_Input_Data!$D$13*SUM(UVG_Input_Data!F67:'UVG_Input_Data'!$AZ67) + IF(UVG_Input_Data!F38&gt;20,0, SUM(OFFSET(UVG_Input_Data!$C$40:$AZ$40, UVG_Input_Data!F$38, UVG_Input_Data!F$38, 21-UVG_Input_Data!F$38,50-UVG_Input_Data!F$38)))</f>
        <v>0</v>
      </c>
      <c r="G48" s="183">
        <f ca="1">UVG_Input_Data!$D$13*SUM(UVG_Input_Data!G67:'UVG_Input_Data'!$AZ67) + IF(UVG_Input_Data!G38&gt;20,0, SUM(OFFSET(UVG_Input_Data!$C$40:$AZ$40, UVG_Input_Data!G$38, UVG_Input_Data!G$38, 21-UVG_Input_Data!G$38,50-UVG_Input_Data!G$38)))</f>
        <v>0</v>
      </c>
      <c r="H48" s="183">
        <f ca="1">UVG_Input_Data!$D$13*SUM(UVG_Input_Data!H67:'UVG_Input_Data'!$AZ67) + IF(UVG_Input_Data!H38&gt;20,0, SUM(OFFSET(UVG_Input_Data!$C$40:$AZ$40, UVG_Input_Data!H$38, UVG_Input_Data!H$38, 21-UVG_Input_Data!H$38,50-UVG_Input_Data!H$38)))</f>
        <v>0</v>
      </c>
      <c r="I48" s="183">
        <f ca="1">UVG_Input_Data!$D$13*SUM(UVG_Input_Data!I67:'UVG_Input_Data'!$AZ67) + IF(UVG_Input_Data!I38&gt;20,0, SUM(OFFSET(UVG_Input_Data!$C$40:$AZ$40, UVG_Input_Data!I$38, UVG_Input_Data!I$38, 21-UVG_Input_Data!I$38,50-UVG_Input_Data!I$38)))</f>
        <v>0</v>
      </c>
      <c r="J48" s="183">
        <f ca="1">UVG_Input_Data!$D$13*SUM(UVG_Input_Data!J67:'UVG_Input_Data'!$AZ67) + IF(UVG_Input_Data!J38&gt;20,0, SUM(OFFSET(UVG_Input_Data!$C$40:$AZ$40, UVG_Input_Data!J$38, UVG_Input_Data!J$38, 21-UVG_Input_Data!J$38,50-UVG_Input_Data!J$38)))</f>
        <v>0</v>
      </c>
      <c r="K48" s="183">
        <f ca="1">UVG_Input_Data!$D$13*SUM(UVG_Input_Data!K67:'UVG_Input_Data'!$AZ67) + IF(UVG_Input_Data!K38&gt;20,0, SUM(OFFSET(UVG_Input_Data!$C$40:$AZ$40, UVG_Input_Data!K$38, UVG_Input_Data!K$38, 21-UVG_Input_Data!K$38,50-UVG_Input_Data!K$38)))</f>
        <v>0</v>
      </c>
      <c r="L48" s="183">
        <f ca="1">UVG_Input_Data!$D$13*SUM(UVG_Input_Data!L67:'UVG_Input_Data'!$AZ67) + IF(UVG_Input_Data!L38&gt;20,0, SUM(OFFSET(UVG_Input_Data!$C$40:$AZ$40, UVG_Input_Data!L$38, UVG_Input_Data!L$38, 21-UVG_Input_Data!L$38,50-UVG_Input_Data!L$38)))</f>
        <v>0</v>
      </c>
      <c r="M48" s="183">
        <f ca="1">UVG_Input_Data!$D$13*SUM(UVG_Input_Data!M67:'UVG_Input_Data'!$AZ67) + IF(UVG_Input_Data!M38&gt;20,0, SUM(OFFSET(UVG_Input_Data!$C$40:$AZ$40, UVG_Input_Data!M$38, UVG_Input_Data!M$38, 21-UVG_Input_Data!M$38,50-UVG_Input_Data!M$38)))</f>
        <v>0</v>
      </c>
      <c r="N48" s="183">
        <f ca="1">UVG_Input_Data!$D$13*SUM(UVG_Input_Data!N67:'UVG_Input_Data'!$AZ67) + IF(UVG_Input_Data!N38&gt;20,0, SUM(OFFSET(UVG_Input_Data!$C$40:$AZ$40, UVG_Input_Data!N$38, UVG_Input_Data!N$38, 21-UVG_Input_Data!N$38,50-UVG_Input_Data!N$38)))</f>
        <v>0</v>
      </c>
      <c r="O48" s="183">
        <f ca="1">UVG_Input_Data!$D$13*SUM(UVG_Input_Data!O67:'UVG_Input_Data'!$AZ67) + IF(UVG_Input_Data!O38&gt;20,0, SUM(OFFSET(UVG_Input_Data!$C$40:$AZ$40, UVG_Input_Data!O$38, UVG_Input_Data!O$38, 21-UVG_Input_Data!O$38,50-UVG_Input_Data!O$38)))</f>
        <v>0</v>
      </c>
      <c r="P48" s="183">
        <f ca="1">UVG_Input_Data!$D$13*SUM(UVG_Input_Data!P67:'UVG_Input_Data'!$AZ67) + IF(UVG_Input_Data!P38&gt;20,0, SUM(OFFSET(UVG_Input_Data!$C$40:$AZ$40, UVG_Input_Data!P$38, UVG_Input_Data!P$38, 21-UVG_Input_Data!P$38,50-UVG_Input_Data!P$38)))</f>
        <v>0</v>
      </c>
      <c r="Q48" s="183">
        <f ca="1">UVG_Input_Data!$D$13*SUM(UVG_Input_Data!Q67:'UVG_Input_Data'!$AZ67) + IF(UVG_Input_Data!Q38&gt;20,0, SUM(OFFSET(UVG_Input_Data!$C$40:$AZ$40, UVG_Input_Data!Q$38, UVG_Input_Data!Q$38, 21-UVG_Input_Data!Q$38,50-UVG_Input_Data!Q$38)))</f>
        <v>0</v>
      </c>
      <c r="R48" s="183">
        <f ca="1">UVG_Input_Data!$D$13*SUM(UVG_Input_Data!R67:'UVG_Input_Data'!$AZ67) + IF(UVG_Input_Data!R38&gt;20,0, SUM(OFFSET(UVG_Input_Data!$C$40:$AZ$40, UVG_Input_Data!R$38, UVG_Input_Data!R$38, 21-UVG_Input_Data!R$38,50-UVG_Input_Data!R$38)))</f>
        <v>0</v>
      </c>
      <c r="S48" s="183">
        <f ca="1">UVG_Input_Data!$D$13*SUM(UVG_Input_Data!S67:'UVG_Input_Data'!$AZ67) + IF(UVG_Input_Data!S38&gt;20,0, SUM(OFFSET(UVG_Input_Data!$C$40:$AZ$40, UVG_Input_Data!S$38, UVG_Input_Data!S$38, 21-UVG_Input_Data!S$38,50-UVG_Input_Data!S$38)))</f>
        <v>0</v>
      </c>
      <c r="T48" s="183">
        <f ca="1">UVG_Input_Data!$D$13*SUM(UVG_Input_Data!T67:'UVG_Input_Data'!$AZ67) + IF(UVG_Input_Data!T38&gt;20,0, SUM(OFFSET(UVG_Input_Data!$C$40:$AZ$40, UVG_Input_Data!T$38, UVG_Input_Data!T$38, 21-UVG_Input_Data!T$38,50-UVG_Input_Data!T$38)))</f>
        <v>0</v>
      </c>
      <c r="U48" s="183">
        <f ca="1">UVG_Input_Data!$D$13*SUM(UVG_Input_Data!U67:'UVG_Input_Data'!$AZ67) + IF(UVG_Input_Data!U38&gt;20,0, SUM(OFFSET(UVG_Input_Data!$C$40:$AZ$40, UVG_Input_Data!U$38, UVG_Input_Data!U$38, 21-UVG_Input_Data!U$38,50-UVG_Input_Data!U$38)))</f>
        <v>0</v>
      </c>
      <c r="V48" s="183">
        <f ca="1">UVG_Input_Data!$D$13*SUM(UVG_Input_Data!V67:'UVG_Input_Data'!$AZ67) + IF(UVG_Input_Data!V38&gt;20,0, SUM(OFFSET(UVG_Input_Data!$C$40:$AZ$40, UVG_Input_Data!V$38, UVG_Input_Data!V$38, 21-UVG_Input_Data!V$38,50-UVG_Input_Data!V$38)))</f>
        <v>0</v>
      </c>
      <c r="W48" s="183">
        <f ca="1">UVG_Input_Data!$D$13*SUM(UVG_Input_Data!W67:'UVG_Input_Data'!$AZ67) + IF(UVG_Input_Data!W38&gt;20,0, SUM(OFFSET(UVG_Input_Data!$C$40:$AZ$40, UVG_Input_Data!W$38, UVG_Input_Data!W$38, 21-UVG_Input_Data!W$38,50-UVG_Input_Data!W$38)))</f>
        <v>0</v>
      </c>
      <c r="X48" s="183">
        <f ca="1">UVG_Input_Data!$D$13*SUM(UVG_Input_Data!X67:'UVG_Input_Data'!$AZ67) + IF(UVG_Input_Data!X38&gt;20,0, SUM(OFFSET(UVG_Input_Data!$C$40:$AZ$40, UVG_Input_Data!X$38, UVG_Input_Data!X$38, 21-UVG_Input_Data!X$38,50-UVG_Input_Data!X$38)))</f>
        <v>0</v>
      </c>
      <c r="Y48" s="183">
        <f ca="1">UVG_Input_Data!$D$13*SUM(UVG_Input_Data!Y67:'UVG_Input_Data'!$AZ67) + IF(UVG_Input_Data!Y38&gt;20,0, SUM(OFFSET(UVG_Input_Data!$C$40:$AZ$40, UVG_Input_Data!Y$38, UVG_Input_Data!Y$38, 21-UVG_Input_Data!Y$38,50-UVG_Input_Data!Y$38)))</f>
        <v>0</v>
      </c>
      <c r="Z48" s="183">
        <f ca="1">UVG_Input_Data!$D$13*SUM(UVG_Input_Data!Z67:'UVG_Input_Data'!$AZ67) + IF(UVG_Input_Data!Z38&gt;20,0, SUM(OFFSET(UVG_Input_Data!$C$40:$AZ$40, UVG_Input_Data!Z$38, UVG_Input_Data!Z$38, 21-UVG_Input_Data!Z$38,50-UVG_Input_Data!Z$38)))</f>
        <v>0</v>
      </c>
      <c r="AA48" s="183">
        <f ca="1">UVG_Input_Data!$D$13*SUM(UVG_Input_Data!AA67:'UVG_Input_Data'!$AZ67) + IF(UVG_Input_Data!AA38&gt;20,0, SUM(OFFSET(UVG_Input_Data!$C$40:$AZ$40, UVG_Input_Data!AA$38, UVG_Input_Data!AA$38, 21-UVG_Input_Data!AA$38,50-UVG_Input_Data!AA$38)))</f>
        <v>0</v>
      </c>
      <c r="AB48" s="183">
        <f ca="1">UVG_Input_Data!$D$13*SUM(UVG_Input_Data!AB67:'UVG_Input_Data'!$AZ67) + IF(UVG_Input_Data!AB38&gt;20,0, SUM(OFFSET(UVG_Input_Data!$C$40:$AZ$40, UVG_Input_Data!AB$38, UVG_Input_Data!AB$38, 21-UVG_Input_Data!AB$38,50-UVG_Input_Data!AB$38)))</f>
        <v>0</v>
      </c>
      <c r="AC48" s="183">
        <f ca="1">UVG_Input_Data!$D$13*SUM(UVG_Input_Data!AC67:'UVG_Input_Data'!$AZ67) + IF(UVG_Input_Data!AC38&gt;20,0, SUM(OFFSET(UVG_Input_Data!$C$40:$AZ$40, UVG_Input_Data!AC$38, UVG_Input_Data!AC$38, 21-UVG_Input_Data!AC$38,50-UVG_Input_Data!AC$38)))</f>
        <v>0</v>
      </c>
      <c r="AD48" s="183">
        <f ca="1">UVG_Input_Data!$D$13*SUM(UVG_Input_Data!AD67:'UVG_Input_Data'!$AZ67) + IF(UVG_Input_Data!AD38&gt;20,0, SUM(OFFSET(UVG_Input_Data!$C$40:$AZ$40, UVG_Input_Data!AD$38, UVG_Input_Data!AD$38, 21-UVG_Input_Data!AD$38,50-UVG_Input_Data!AD$38)))</f>
        <v>0</v>
      </c>
      <c r="AE48" s="183">
        <f ca="1">UVG_Input_Data!$D$13*SUM(UVG_Input_Data!AE67:'UVG_Input_Data'!$AZ67) + IF(UVG_Input_Data!AE38&gt;20,0, SUM(OFFSET(UVG_Input_Data!$C$40:$AZ$40, UVG_Input_Data!AE$38, UVG_Input_Data!AE$38, 21-UVG_Input_Data!AE$38,50-UVG_Input_Data!AE$38)))</f>
        <v>0</v>
      </c>
      <c r="AF48" s="183">
        <f ca="1">UVG_Input_Data!$D$13*SUM(UVG_Input_Data!AF67:'UVG_Input_Data'!$AZ67) + IF(UVG_Input_Data!AF38&gt;20,0, SUM(OFFSET(UVG_Input_Data!$C$40:$AZ$40, UVG_Input_Data!AF$38, UVG_Input_Data!AF$38, 21-UVG_Input_Data!AF$38,50-UVG_Input_Data!AF$38)))</f>
        <v>0</v>
      </c>
      <c r="AG48" s="183">
        <f ca="1">UVG_Input_Data!$D$13*SUM(UVG_Input_Data!AG67:'UVG_Input_Data'!$AZ67) + IF(UVG_Input_Data!AG38&gt;20,0, SUM(OFFSET(UVG_Input_Data!$C$40:$AZ$40, UVG_Input_Data!AG$38, UVG_Input_Data!AG$38, 21-UVG_Input_Data!AG$38,50-UVG_Input_Data!AG$38)))</f>
        <v>0</v>
      </c>
      <c r="AH48" s="183">
        <f ca="1">UVG_Input_Data!$D$13*SUM(UVG_Input_Data!AH67:'UVG_Input_Data'!$AZ67) + IF(UVG_Input_Data!AH38&gt;20,0, SUM(OFFSET(UVG_Input_Data!$C$40:$AZ$40, UVG_Input_Data!AH$38, UVG_Input_Data!AH$38, 21-UVG_Input_Data!AH$38,50-UVG_Input_Data!AH$38)))</f>
        <v>0</v>
      </c>
      <c r="AI48" s="183">
        <f ca="1">UVG_Input_Data!$D$13*SUM(UVG_Input_Data!AI67:'UVG_Input_Data'!$AZ67) + IF(UVG_Input_Data!AI38&gt;20,0, SUM(OFFSET(UVG_Input_Data!$C$40:$AZ$40, UVG_Input_Data!AI$38, UVG_Input_Data!AI$38, 21-UVG_Input_Data!AI$38,50-UVG_Input_Data!AI$38)))</f>
        <v>0</v>
      </c>
      <c r="AJ48" s="183">
        <f ca="1">UVG_Input_Data!$D$13*SUM(UVG_Input_Data!AJ67:'UVG_Input_Data'!$AZ67) + IF(UVG_Input_Data!AJ38&gt;20,0, SUM(OFFSET(UVG_Input_Data!$C$40:$AZ$40, UVG_Input_Data!AJ$38, UVG_Input_Data!AJ$38, 21-UVG_Input_Data!AJ$38,50-UVG_Input_Data!AJ$38)))</f>
        <v>0</v>
      </c>
      <c r="AK48" s="183">
        <f ca="1">UVG_Input_Data!$D$13*SUM(UVG_Input_Data!AK67:'UVG_Input_Data'!$AZ67) + IF(UVG_Input_Data!AK38&gt;20,0, SUM(OFFSET(UVG_Input_Data!$C$40:$AZ$40, UVG_Input_Data!AK$38, UVG_Input_Data!AK$38, 21-UVG_Input_Data!AK$38,50-UVG_Input_Data!AK$38)))</f>
        <v>0</v>
      </c>
      <c r="AL48" s="183">
        <f ca="1">UVG_Input_Data!$D$13*SUM(UVG_Input_Data!AL67:'UVG_Input_Data'!$AZ67) + IF(UVG_Input_Data!AL38&gt;20,0, SUM(OFFSET(UVG_Input_Data!$C$40:$AZ$40, UVG_Input_Data!AL$38, UVG_Input_Data!AL$38, 21-UVG_Input_Data!AL$38,50-UVG_Input_Data!AL$38)))</f>
        <v>0</v>
      </c>
      <c r="AM48" s="183">
        <f ca="1">UVG_Input_Data!$D$13*SUM(UVG_Input_Data!AM67:'UVG_Input_Data'!$AZ67) + IF(UVG_Input_Data!AM38&gt;20,0, SUM(OFFSET(UVG_Input_Data!$C$40:$AZ$40, UVG_Input_Data!AM$38, UVG_Input_Data!AM$38, 21-UVG_Input_Data!AM$38,50-UVG_Input_Data!AM$38)))</f>
        <v>0</v>
      </c>
      <c r="AN48" s="183">
        <f ca="1">UVG_Input_Data!$D$13*SUM(UVG_Input_Data!AN67:'UVG_Input_Data'!$AZ67) + IF(UVG_Input_Data!AN38&gt;20,0, SUM(OFFSET(UVG_Input_Data!$C$40:$AZ$40, UVG_Input_Data!AN$38, UVG_Input_Data!AN$38, 21-UVG_Input_Data!AN$38,50-UVG_Input_Data!AN$38)))</f>
        <v>0</v>
      </c>
      <c r="AO48" s="183">
        <f ca="1">UVG_Input_Data!$D$13*SUM(UVG_Input_Data!AO67:'UVG_Input_Data'!$AZ67) + IF(UVG_Input_Data!AO38&gt;20,0, SUM(OFFSET(UVG_Input_Data!$C$40:$AZ$40, UVG_Input_Data!AO$38, UVG_Input_Data!AO$38, 21-UVG_Input_Data!AO$38,50-UVG_Input_Data!AO$38)))</f>
        <v>0</v>
      </c>
      <c r="AP48" s="183">
        <f ca="1">UVG_Input_Data!$D$13*SUM(UVG_Input_Data!AP67:'UVG_Input_Data'!$AZ67) + IF(UVG_Input_Data!AP38&gt;20,0, SUM(OFFSET(UVG_Input_Data!$C$40:$AZ$40, UVG_Input_Data!AP$38, UVG_Input_Data!AP$38, 21-UVG_Input_Data!AP$38,50-UVG_Input_Data!AP$38)))</f>
        <v>0</v>
      </c>
      <c r="AQ48" s="183">
        <f ca="1">UVG_Input_Data!$D$13*SUM(UVG_Input_Data!AQ67:'UVG_Input_Data'!$AZ67) + IF(UVG_Input_Data!AQ38&gt;20,0, SUM(OFFSET(UVG_Input_Data!$C$40:$AZ$40, UVG_Input_Data!AQ$38, UVG_Input_Data!AQ$38, 21-UVG_Input_Data!AQ$38,50-UVG_Input_Data!AQ$38)))</f>
        <v>0</v>
      </c>
      <c r="AR48" s="183">
        <f ca="1">UVG_Input_Data!$D$13*SUM(UVG_Input_Data!AR67:'UVG_Input_Data'!$AZ67) + IF(UVG_Input_Data!AR38&gt;20,0, SUM(OFFSET(UVG_Input_Data!$C$40:$AZ$40, UVG_Input_Data!AR$38, UVG_Input_Data!AR$38, 21-UVG_Input_Data!AR$38,50-UVG_Input_Data!AR$38)))</f>
        <v>0</v>
      </c>
      <c r="AS48" s="183">
        <f ca="1">UVG_Input_Data!$D$13*SUM(UVG_Input_Data!AS67:'UVG_Input_Data'!$AZ67) + IF(UVG_Input_Data!AS38&gt;20,0, SUM(OFFSET(UVG_Input_Data!$C$40:$AZ$40, UVG_Input_Data!AS$38, UVG_Input_Data!AS$38, 21-UVG_Input_Data!AS$38,50-UVG_Input_Data!AS$38)))</f>
        <v>0</v>
      </c>
      <c r="AT48" s="183">
        <f ca="1">UVG_Input_Data!$D$13*SUM(UVG_Input_Data!AT67:'UVG_Input_Data'!$AZ67) + IF(UVG_Input_Data!AT38&gt;20,0, SUM(OFFSET(UVG_Input_Data!$C$40:$AZ$40, UVG_Input_Data!AT$38, UVG_Input_Data!AT$38, 21-UVG_Input_Data!AT$38,50-UVG_Input_Data!AT$38)))</f>
        <v>0</v>
      </c>
      <c r="AU48" s="183">
        <f ca="1">UVG_Input_Data!$D$13*SUM(UVG_Input_Data!AU67:'UVG_Input_Data'!$AZ67) + IF(UVG_Input_Data!AU38&gt;20,0, SUM(OFFSET(UVG_Input_Data!$C$40:$AZ$40, UVG_Input_Data!AU$38, UVG_Input_Data!AU$38, 21-UVG_Input_Data!AU$38,50-UVG_Input_Data!AU$38)))</f>
        <v>0</v>
      </c>
      <c r="AV48" s="183">
        <f ca="1">UVG_Input_Data!$D$13*SUM(UVG_Input_Data!AV67:'UVG_Input_Data'!$AZ67) + IF(UVG_Input_Data!AV38&gt;20,0, SUM(OFFSET(UVG_Input_Data!$C$40:$AZ$40, UVG_Input_Data!AV$38, UVG_Input_Data!AV$38, 21-UVG_Input_Data!AV$38,50-UVG_Input_Data!AV$38)))</f>
        <v>0</v>
      </c>
      <c r="AW48" s="183">
        <f ca="1">UVG_Input_Data!$D$13*SUM(UVG_Input_Data!AW67:'UVG_Input_Data'!$AZ67) + IF(UVG_Input_Data!AW38&gt;20,0, SUM(OFFSET(UVG_Input_Data!$C$40:$AZ$40, UVG_Input_Data!AW$38, UVG_Input_Data!AW$38, 21-UVG_Input_Data!AW$38,50-UVG_Input_Data!AW$38)))</f>
        <v>0</v>
      </c>
      <c r="AX48" s="183">
        <f ca="1">UVG_Input_Data!$D$13*SUM(UVG_Input_Data!AX67:'UVG_Input_Data'!$AZ67) + IF(UVG_Input_Data!AX38&gt;20,0, SUM(OFFSET(UVG_Input_Data!$C$40:$AZ$40, UVG_Input_Data!AX$38, UVG_Input_Data!AX$38, 21-UVG_Input_Data!AX$38,50-UVG_Input_Data!AX$38)))</f>
        <v>0</v>
      </c>
      <c r="AY48" s="183">
        <f ca="1">UVG_Input_Data!$D$13*SUM(UVG_Input_Data!AY67:'UVG_Input_Data'!$AZ67) + IF(UVG_Input_Data!AY38&gt;20,0, SUM(OFFSET(UVG_Input_Data!$C$40:$AZ$40, UVG_Input_Data!AY$38, UVG_Input_Data!AY$38, 21-UVG_Input_Data!AY$38,50-UVG_Input_Data!AY$38)))</f>
        <v>0</v>
      </c>
      <c r="AZ48" s="183">
        <f ca="1">UVG_Input_Data!$D$13*SUM(UVG_Input_Data!AZ67:'UVG_Input_Data'!$AZ67) + IF(UVG_Input_Data!AZ38&gt;20,0, SUM(OFFSET(UVG_Input_Data!$C$40:$AZ$40, UVG_Input_Data!AZ$38, UVG_Input_Data!AZ$38, 21-UVG_Input_Data!AZ$38,50-UVG_Input_Data!AZ$38)))</f>
        <v>0</v>
      </c>
    </row>
    <row r="49" spans="2:53" s="86" customFormat="1">
      <c r="B49" s="87" t="str">
        <f>VLOOKUP("T.03.6", Translation,IF(Language="DE",2,IF(Language="FR",3,4)),FALSE)</f>
        <v>Schadenrückstellung für Kurzfristleistungen</v>
      </c>
      <c r="C49" s="88">
        <f>UVG_Input_Data!$D14 * SUM(UVG_Input_Data!C26:$AZ26)</f>
        <v>0</v>
      </c>
      <c r="D49" s="88">
        <f>UVG_Input_Data!$D14 * SUM(UVG_Input_Data!D26:$AZ26)</f>
        <v>0</v>
      </c>
      <c r="E49" s="88">
        <f>UVG_Input_Data!$D14 * SUM(UVG_Input_Data!E26:$AZ26)</f>
        <v>0</v>
      </c>
      <c r="F49" s="88">
        <f>UVG_Input_Data!$D14 * SUM(UVG_Input_Data!F26:$AZ26)</f>
        <v>0</v>
      </c>
      <c r="G49" s="88">
        <f>UVG_Input_Data!$D14 * SUM(UVG_Input_Data!G26:$AZ26)</f>
        <v>0</v>
      </c>
      <c r="H49" s="88">
        <f>UVG_Input_Data!$D14 * SUM(UVG_Input_Data!H26:$AZ26)</f>
        <v>0</v>
      </c>
      <c r="I49" s="88">
        <f>UVG_Input_Data!$D14 * SUM(UVG_Input_Data!I26:$AZ26)</f>
        <v>0</v>
      </c>
      <c r="J49" s="88">
        <f>UVG_Input_Data!$D14 * SUM(UVG_Input_Data!J26:$AZ26)</f>
        <v>0</v>
      </c>
      <c r="K49" s="88">
        <f>UVG_Input_Data!$D14 * SUM(UVG_Input_Data!K26:$AZ26)</f>
        <v>0</v>
      </c>
      <c r="L49" s="88">
        <f>UVG_Input_Data!$D14 * SUM(UVG_Input_Data!L26:$AZ26)</f>
        <v>0</v>
      </c>
      <c r="M49" s="88">
        <f>UVG_Input_Data!$D14 * SUM(UVG_Input_Data!M26:$AZ26)</f>
        <v>0</v>
      </c>
      <c r="N49" s="88">
        <f>UVG_Input_Data!$D14 * SUM(UVG_Input_Data!N26:$AZ26)</f>
        <v>0</v>
      </c>
      <c r="O49" s="88">
        <f>UVG_Input_Data!$D14 * SUM(UVG_Input_Data!O26:$AZ26)</f>
        <v>0</v>
      </c>
      <c r="P49" s="88">
        <f>UVG_Input_Data!$D14 * SUM(UVG_Input_Data!P26:$AZ26)</f>
        <v>0</v>
      </c>
      <c r="Q49" s="88">
        <f>UVG_Input_Data!$D14 * SUM(UVG_Input_Data!Q26:$AZ26)</f>
        <v>0</v>
      </c>
      <c r="R49" s="88">
        <f>UVG_Input_Data!$D14 * SUM(UVG_Input_Data!R26:$AZ26)</f>
        <v>0</v>
      </c>
      <c r="S49" s="88">
        <f>UVG_Input_Data!$D14 * SUM(UVG_Input_Data!S26:$AZ26)</f>
        <v>0</v>
      </c>
      <c r="T49" s="88">
        <f>UVG_Input_Data!$D14 * SUM(UVG_Input_Data!T26:$AZ26)</f>
        <v>0</v>
      </c>
      <c r="U49" s="88">
        <f>UVG_Input_Data!$D14 * SUM(UVG_Input_Data!U26:$AZ26)</f>
        <v>0</v>
      </c>
      <c r="V49" s="88">
        <f>UVG_Input_Data!$D14 * SUM(UVG_Input_Data!V26:$AZ26)</f>
        <v>0</v>
      </c>
      <c r="W49" s="88">
        <f>UVG_Input_Data!$D14 * SUM(UVG_Input_Data!W26:$AZ26)</f>
        <v>0</v>
      </c>
      <c r="X49" s="88">
        <f>UVG_Input_Data!$D14 * SUM(UVG_Input_Data!X26:$AZ26)</f>
        <v>0</v>
      </c>
      <c r="Y49" s="88">
        <f>UVG_Input_Data!$D14 * SUM(UVG_Input_Data!Y26:$AZ26)</f>
        <v>0</v>
      </c>
      <c r="Z49" s="88">
        <f>UVG_Input_Data!$D14 * SUM(UVG_Input_Data!Z26:$AZ26)</f>
        <v>0</v>
      </c>
      <c r="AA49" s="88">
        <f>UVG_Input_Data!$D14 * SUM(UVG_Input_Data!AA26:$AZ26)</f>
        <v>0</v>
      </c>
      <c r="AB49" s="88">
        <f>UVG_Input_Data!$D14 * SUM(UVG_Input_Data!AB26:$AZ26)</f>
        <v>0</v>
      </c>
      <c r="AC49" s="88">
        <f>UVG_Input_Data!$D14 * SUM(UVG_Input_Data!AC26:$AZ26)</f>
        <v>0</v>
      </c>
      <c r="AD49" s="88">
        <f>UVG_Input_Data!$D14 * SUM(UVG_Input_Data!AD26:$AZ26)</f>
        <v>0</v>
      </c>
      <c r="AE49" s="88">
        <f>UVG_Input_Data!$D14 * SUM(UVG_Input_Data!AE26:$AZ26)</f>
        <v>0</v>
      </c>
      <c r="AF49" s="88">
        <f>UVG_Input_Data!$D14 * SUM(UVG_Input_Data!AF26:$AZ26)</f>
        <v>0</v>
      </c>
      <c r="AG49" s="88">
        <f>UVG_Input_Data!$D14 * SUM(UVG_Input_Data!AG26:$AZ26)</f>
        <v>0</v>
      </c>
      <c r="AH49" s="88">
        <f>UVG_Input_Data!$D14 * SUM(UVG_Input_Data!AH26:$AZ26)</f>
        <v>0</v>
      </c>
      <c r="AI49" s="88">
        <f>UVG_Input_Data!$D14 * SUM(UVG_Input_Data!AI26:$AZ26)</f>
        <v>0</v>
      </c>
      <c r="AJ49" s="88">
        <f>UVG_Input_Data!$D14 * SUM(UVG_Input_Data!AJ26:$AZ26)</f>
        <v>0</v>
      </c>
      <c r="AK49" s="88">
        <f>UVG_Input_Data!$D14 * SUM(UVG_Input_Data!AK26:$AZ26)</f>
        <v>0</v>
      </c>
      <c r="AL49" s="88">
        <f>UVG_Input_Data!$D14 * SUM(UVG_Input_Data!AL26:$AZ26)</f>
        <v>0</v>
      </c>
      <c r="AM49" s="88">
        <f>UVG_Input_Data!$D14 * SUM(UVG_Input_Data!AM26:$AZ26)</f>
        <v>0</v>
      </c>
      <c r="AN49" s="88">
        <f>UVG_Input_Data!$D14 * SUM(UVG_Input_Data!AN26:$AZ26)</f>
        <v>0</v>
      </c>
      <c r="AO49" s="88">
        <f>UVG_Input_Data!$D14 * SUM(UVG_Input_Data!AO26:$AZ26)</f>
        <v>0</v>
      </c>
      <c r="AP49" s="88">
        <f>UVG_Input_Data!$D14 * SUM(UVG_Input_Data!AP26:$AZ26)</f>
        <v>0</v>
      </c>
      <c r="AQ49" s="88">
        <f>UVG_Input_Data!$D14 * SUM(UVG_Input_Data!AQ26:$AZ26)</f>
        <v>0</v>
      </c>
      <c r="AR49" s="88">
        <f>UVG_Input_Data!$D14 * SUM(UVG_Input_Data!AR26:$AZ26)</f>
        <v>0</v>
      </c>
      <c r="AS49" s="88">
        <f>UVG_Input_Data!$D14 * SUM(UVG_Input_Data!AS26:$AZ26)</f>
        <v>0</v>
      </c>
      <c r="AT49" s="88">
        <f>UVG_Input_Data!$D14 * SUM(UVG_Input_Data!AT26:$AZ26)</f>
        <v>0</v>
      </c>
      <c r="AU49" s="88">
        <f>UVG_Input_Data!$D14 * SUM(UVG_Input_Data!AU26:$AZ26)</f>
        <v>0</v>
      </c>
      <c r="AV49" s="88">
        <f>UVG_Input_Data!$D14 * SUM(UVG_Input_Data!AV26:$AZ26)</f>
        <v>0</v>
      </c>
      <c r="AW49" s="88">
        <f>UVG_Input_Data!$D14 * SUM(UVG_Input_Data!AW26:$AZ26)</f>
        <v>0</v>
      </c>
      <c r="AX49" s="88">
        <f>UVG_Input_Data!$D14 * SUM(UVG_Input_Data!AX26:$AZ26)</f>
        <v>0</v>
      </c>
      <c r="AY49" s="88">
        <f>UVG_Input_Data!$D14 * SUM(UVG_Input_Data!AY26:$AZ26)</f>
        <v>0</v>
      </c>
      <c r="AZ49" s="88">
        <f>UVG_Input_Data!$D14 * SUM(UVG_Input_Data!AZ26:$AZ26)</f>
        <v>0</v>
      </c>
    </row>
    <row r="50" spans="2:53" s="86" customFormat="1">
      <c r="B50" s="87" t="str">
        <f>VLOOKUP("T.04.26", Translation,IF(Language="DE",2,IF(Language="FR",3,4)),FALSE)</f>
        <v>Stand des Teuerungsfonds</v>
      </c>
      <c r="C50" s="88">
        <f>UVG_Input_Data!C17</f>
        <v>0</v>
      </c>
      <c r="D50" s="88">
        <f ca="1">MAX(C50 + C33 - C38 - C27 - UVG_Input_Data!$C$33, 0)</f>
        <v>0</v>
      </c>
      <c r="E50" s="88">
        <f ca="1">MAX(D50 + D33 - D38 - D27 - UVG_Input_Data!$C$33, 0)</f>
        <v>0</v>
      </c>
      <c r="F50" s="88">
        <f ca="1">MAX(E50 + E33 - E38 - E27 - UVG_Input_Data!$C$33, 0)</f>
        <v>0</v>
      </c>
      <c r="G50" s="88">
        <f ca="1">MAX(F50 + F33 - F38 - F27 - UVG_Input_Data!$C$33, 0)</f>
        <v>0</v>
      </c>
      <c r="H50" s="88">
        <f ca="1">MAX(G50 + G33 - G38 - G27 - UVG_Input_Data!$C$33, 0)</f>
        <v>0</v>
      </c>
      <c r="I50" s="88">
        <f ca="1">MAX(H50 + H33 - H27 - UVG_Input_Data!$C$33, 0)</f>
        <v>0</v>
      </c>
      <c r="J50" s="88">
        <f ca="1">MAX(I50 + I33 - I27 - UVG_Input_Data!$C$33, 0)</f>
        <v>0</v>
      </c>
      <c r="K50" s="88">
        <f ca="1">MAX(J50 + J33 - J27 - UVG_Input_Data!$C$33, 0)</f>
        <v>0</v>
      </c>
      <c r="L50" s="88">
        <f ca="1">MAX(K50 + K33 - K27 - UVG_Input_Data!$C$33, 0)</f>
        <v>0</v>
      </c>
      <c r="M50" s="88">
        <f ca="1">MAX(L50 + L33 - L27 - UVG_Input_Data!$C$33, 0)</f>
        <v>0</v>
      </c>
      <c r="N50" s="88">
        <f ca="1">MAX(M50 + M33 - M27 - UVG_Input_Data!$C$33, 0)</f>
        <v>0</v>
      </c>
      <c r="O50" s="88">
        <f ca="1">MAX(N50 + N33 - N27 - UVG_Input_Data!$C$33, 0)</f>
        <v>0</v>
      </c>
      <c r="P50" s="88">
        <f ca="1">MAX(O50 + O33 - O27 - UVG_Input_Data!$C$33, 0)</f>
        <v>0</v>
      </c>
      <c r="Q50" s="88">
        <f ca="1">MAX(P50 + P33 - P27 - UVG_Input_Data!$C$33, 0)</f>
        <v>0</v>
      </c>
      <c r="R50" s="88">
        <f ca="1">MAX(Q50 + Q33 - Q27 - UVG_Input_Data!$C$33, 0)</f>
        <v>0</v>
      </c>
      <c r="S50" s="88">
        <f ca="1">MAX(R50 + R33 - R27 - UVG_Input_Data!$C$33, 0)</f>
        <v>0</v>
      </c>
      <c r="T50" s="88">
        <f ca="1">MAX(S50 + S33 - S27 - UVG_Input_Data!$C$33, 0)</f>
        <v>0</v>
      </c>
      <c r="U50" s="88">
        <f ca="1">MAX(T50 + T33 - T27 - UVG_Input_Data!$C$33, 0)</f>
        <v>0</v>
      </c>
      <c r="V50" s="88">
        <f ca="1">MAX(U50 + U33 - U27 - UVG_Input_Data!$C$33, 0)</f>
        <v>0</v>
      </c>
      <c r="W50" s="88">
        <f ca="1">MAX(V50 + V33 - V27 - UVG_Input_Data!$C$33, 0)</f>
        <v>0</v>
      </c>
      <c r="X50" s="88">
        <f ca="1">MAX(W50 + W33 - W27 - UVG_Input_Data!$C$33, 0)</f>
        <v>0</v>
      </c>
      <c r="Y50" s="88">
        <f ca="1">MAX(X50 + X33 - X27 - UVG_Input_Data!$C$33, 0)</f>
        <v>0</v>
      </c>
      <c r="Z50" s="88">
        <f ca="1">MAX(Y50 + Y33 - Y27 - UVG_Input_Data!$C$33, 0)</f>
        <v>0</v>
      </c>
      <c r="AA50" s="88">
        <f ca="1">MAX(Z50 + Z33 - Z27 - UVG_Input_Data!$C$33, 0)</f>
        <v>0</v>
      </c>
      <c r="AB50" s="88">
        <f ca="1">MAX(AA50 + AA33 - AA27 - UVG_Input_Data!$C$33, 0)</f>
        <v>0</v>
      </c>
      <c r="AC50" s="88">
        <f ca="1">MAX(AB50 + AB33 - AB27 - UVG_Input_Data!$C$33, 0)</f>
        <v>0</v>
      </c>
      <c r="AD50" s="88">
        <f ca="1">MAX(AC50 + AC33 - AC27 - UVG_Input_Data!$C$33, 0)</f>
        <v>0</v>
      </c>
      <c r="AE50" s="88">
        <f ca="1">MAX(AD50 + AD33 - AD27 - UVG_Input_Data!$C$33, 0)</f>
        <v>0</v>
      </c>
      <c r="AF50" s="88">
        <f ca="1">MAX(AE50 + AE33 - AE27 - UVG_Input_Data!$C$33, 0)</f>
        <v>0</v>
      </c>
      <c r="AG50" s="88">
        <f ca="1">MAX(AF50 + AF33 - AF27 - UVG_Input_Data!$C$33, 0)</f>
        <v>0</v>
      </c>
      <c r="AH50" s="88">
        <f ca="1">MAX(AG50 + AG33 - AG27 - UVG_Input_Data!$C$33, 0)</f>
        <v>0</v>
      </c>
      <c r="AI50" s="88">
        <f ca="1">MAX(AH50 + AH33 - AH27 - UVG_Input_Data!$C$33, 0)</f>
        <v>0</v>
      </c>
      <c r="AJ50" s="88">
        <f ca="1">MAX(AI50 + AI33 - AI27 - UVG_Input_Data!$C$33, 0)</f>
        <v>0</v>
      </c>
      <c r="AK50" s="88">
        <f ca="1">MAX(AJ50 + AJ33 - AJ27 - UVG_Input_Data!$C$33, 0)</f>
        <v>0</v>
      </c>
      <c r="AL50" s="88">
        <f ca="1">MAX(AK50 + AK33 - AK27 - UVG_Input_Data!$C$33, 0)</f>
        <v>0</v>
      </c>
      <c r="AM50" s="88">
        <f ca="1">MAX(AL50 + AL33 - AL27 - UVG_Input_Data!$C$33, 0)</f>
        <v>0</v>
      </c>
      <c r="AN50" s="88">
        <f ca="1">MAX(AM50 + AM33 - AM27 - UVG_Input_Data!$C$33, 0)</f>
        <v>0</v>
      </c>
      <c r="AO50" s="88">
        <f ca="1">MAX(AN50 + AN33 - AN27 - UVG_Input_Data!$C$33, 0)</f>
        <v>0</v>
      </c>
      <c r="AP50" s="88">
        <f ca="1">MAX(AO50 + AO33 - AO27 - UVG_Input_Data!$C$33, 0)</f>
        <v>0</v>
      </c>
      <c r="AQ50" s="88">
        <f ca="1">MAX(AP50 + AP33 - AP27 - UVG_Input_Data!$C$33, 0)</f>
        <v>0</v>
      </c>
      <c r="AR50" s="88">
        <f ca="1">MAX(AQ50 + AQ33 - AQ27 - UVG_Input_Data!$C$33, 0)</f>
        <v>0</v>
      </c>
      <c r="AS50" s="88">
        <f ca="1">MAX(AR50 + AR33 - AR27 - UVG_Input_Data!$C$33, 0)</f>
        <v>0</v>
      </c>
      <c r="AT50" s="88">
        <f ca="1">MAX(AS50 + AS33 - AS27 - UVG_Input_Data!$C$33, 0)</f>
        <v>0</v>
      </c>
      <c r="AU50" s="88">
        <f ca="1">MAX(AT50 + AT33 - AT27 - UVG_Input_Data!$C$33, 0)</f>
        <v>0</v>
      </c>
      <c r="AV50" s="88">
        <f ca="1">MAX(AU50 + AU33 - AU27 - UVG_Input_Data!$C$33, 0)</f>
        <v>0</v>
      </c>
      <c r="AW50" s="88">
        <f ca="1">MAX(AV50 + AV33 - AV27 - UVG_Input_Data!$C$33, 0)</f>
        <v>0</v>
      </c>
      <c r="AX50" s="88">
        <f ca="1">MAX(AW50 + AW33 - AW27 - UVG_Input_Data!$C$33, 0)</f>
        <v>0</v>
      </c>
      <c r="AY50" s="88">
        <f ca="1">MAX(AX50 + AX33 - AX27 - UVG_Input_Data!$C$33, 0)</f>
        <v>0</v>
      </c>
      <c r="AZ50" s="88">
        <f ca="1">MAX(AY50 + AY33 - AY27 - UVG_Input_Data!$C$33, 0)</f>
        <v>0</v>
      </c>
    </row>
    <row r="51" spans="2:53">
      <c r="BA51" s="86"/>
    </row>
    <row r="52" spans="2:53">
      <c r="C52" s="122"/>
    </row>
    <row r="53" spans="2:53" ht="14.25">
      <c r="B53" s="224" t="str">
        <f>VLOOKUP("T.03.26", Translation,IF(Language="DE",2,IF(Language="FR",3,4)),FALSE)</f>
        <v>Statutarisches Deckungskapital für künftige Neurenten ab dem Jahr 2024 (in Mio. CHF; jeweils am Ende des Jahres)</v>
      </c>
      <c r="C53" s="224"/>
      <c r="D53" s="224"/>
      <c r="E53" s="224"/>
      <c r="F53" s="224"/>
      <c r="G53" s="224"/>
      <c r="H53" s="224"/>
      <c r="I53" s="224"/>
      <c r="J53" s="224"/>
      <c r="K53" s="224"/>
      <c r="L53" s="224"/>
      <c r="M53" s="224"/>
      <c r="N53" s="224"/>
    </row>
    <row r="54" spans="2:53" s="32" customFormat="1" ht="14.25">
      <c r="B54" s="210"/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0"/>
    </row>
    <row r="55" spans="2:53">
      <c r="B55" s="78"/>
      <c r="C55" s="219" t="str">
        <f>VLOOKUP("T.03.29", Translation,IF(Language="DE",2,IF(Language="FR",3,4)),FALSE)</f>
        <v>Bewertungsjahr</v>
      </c>
      <c r="D55" s="211"/>
    </row>
    <row r="56" spans="2:53">
      <c r="B56" s="82"/>
      <c r="C56" s="79">
        <v>0</v>
      </c>
      <c r="D56" s="80">
        <v>1</v>
      </c>
      <c r="E56" s="80">
        <v>2</v>
      </c>
      <c r="F56" s="80">
        <v>3</v>
      </c>
      <c r="G56" s="80">
        <v>4</v>
      </c>
      <c r="H56" s="80">
        <v>5</v>
      </c>
      <c r="I56" s="80">
        <v>6</v>
      </c>
      <c r="J56" s="80">
        <v>7</v>
      </c>
      <c r="K56" s="80">
        <v>8</v>
      </c>
      <c r="L56" s="80">
        <v>9</v>
      </c>
      <c r="M56" s="80">
        <v>10</v>
      </c>
      <c r="N56" s="80">
        <v>11</v>
      </c>
      <c r="O56" s="80">
        <v>12</v>
      </c>
      <c r="P56" s="80">
        <v>13</v>
      </c>
      <c r="Q56" s="80">
        <v>14</v>
      </c>
      <c r="R56" s="80">
        <v>15</v>
      </c>
      <c r="S56" s="80">
        <v>16</v>
      </c>
      <c r="T56" s="80">
        <v>17</v>
      </c>
      <c r="U56" s="80">
        <v>18</v>
      </c>
      <c r="V56" s="80">
        <v>19</v>
      </c>
      <c r="W56" s="80">
        <v>20</v>
      </c>
      <c r="X56" s="80">
        <v>21</v>
      </c>
      <c r="Y56" s="80">
        <v>22</v>
      </c>
      <c r="Z56" s="80">
        <v>23</v>
      </c>
      <c r="AA56" s="80">
        <v>24</v>
      </c>
      <c r="AB56" s="80">
        <v>25</v>
      </c>
      <c r="AC56" s="80">
        <v>26</v>
      </c>
      <c r="AD56" s="80">
        <v>27</v>
      </c>
      <c r="AE56" s="80">
        <v>28</v>
      </c>
      <c r="AF56" s="80">
        <v>29</v>
      </c>
      <c r="AG56" s="80">
        <v>30</v>
      </c>
      <c r="AH56" s="80">
        <v>31</v>
      </c>
      <c r="AI56" s="80">
        <v>32</v>
      </c>
      <c r="AJ56" s="80">
        <v>33</v>
      </c>
      <c r="AK56" s="80">
        <v>34</v>
      </c>
      <c r="AL56" s="80">
        <v>35</v>
      </c>
      <c r="AM56" s="80">
        <v>36</v>
      </c>
      <c r="AN56" s="80">
        <v>37</v>
      </c>
      <c r="AO56" s="80">
        <v>38</v>
      </c>
      <c r="AP56" s="80">
        <v>39</v>
      </c>
      <c r="AQ56" s="80">
        <v>40</v>
      </c>
      <c r="AR56" s="80">
        <v>41</v>
      </c>
      <c r="AS56" s="80">
        <v>42</v>
      </c>
      <c r="AT56" s="80">
        <v>43</v>
      </c>
      <c r="AU56" s="80">
        <v>44</v>
      </c>
      <c r="AV56" s="80">
        <v>45</v>
      </c>
      <c r="AW56" s="80">
        <v>46</v>
      </c>
      <c r="AX56" s="80">
        <v>47</v>
      </c>
      <c r="AY56" s="80">
        <v>48</v>
      </c>
      <c r="AZ56" s="81">
        <v>49</v>
      </c>
    </row>
    <row r="57" spans="2:53">
      <c r="C57" s="106">
        <f t="shared" ref="C57:AH57" si="8">current_year +C56</f>
        <v>2025</v>
      </c>
      <c r="D57" s="106">
        <f t="shared" si="8"/>
        <v>2026</v>
      </c>
      <c r="E57" s="106">
        <f t="shared" si="8"/>
        <v>2027</v>
      </c>
      <c r="F57" s="106">
        <f t="shared" si="8"/>
        <v>2028</v>
      </c>
      <c r="G57" s="106">
        <f t="shared" si="8"/>
        <v>2029</v>
      </c>
      <c r="H57" s="106">
        <f t="shared" si="8"/>
        <v>2030</v>
      </c>
      <c r="I57" s="106">
        <f t="shared" si="8"/>
        <v>2031</v>
      </c>
      <c r="J57" s="106">
        <f t="shared" si="8"/>
        <v>2032</v>
      </c>
      <c r="K57" s="106">
        <f t="shared" si="8"/>
        <v>2033</v>
      </c>
      <c r="L57" s="106">
        <f t="shared" si="8"/>
        <v>2034</v>
      </c>
      <c r="M57" s="106">
        <f t="shared" si="8"/>
        <v>2035</v>
      </c>
      <c r="N57" s="106">
        <f t="shared" si="8"/>
        <v>2036</v>
      </c>
      <c r="O57" s="106">
        <f t="shared" si="8"/>
        <v>2037</v>
      </c>
      <c r="P57" s="106">
        <f t="shared" si="8"/>
        <v>2038</v>
      </c>
      <c r="Q57" s="106">
        <f t="shared" si="8"/>
        <v>2039</v>
      </c>
      <c r="R57" s="106">
        <f t="shared" si="8"/>
        <v>2040</v>
      </c>
      <c r="S57" s="106">
        <f t="shared" si="8"/>
        <v>2041</v>
      </c>
      <c r="T57" s="106">
        <f t="shared" si="8"/>
        <v>2042</v>
      </c>
      <c r="U57" s="106">
        <f t="shared" si="8"/>
        <v>2043</v>
      </c>
      <c r="V57" s="106">
        <f t="shared" si="8"/>
        <v>2044</v>
      </c>
      <c r="W57" s="106">
        <f t="shared" si="8"/>
        <v>2045</v>
      </c>
      <c r="X57" s="106">
        <f t="shared" si="8"/>
        <v>2046</v>
      </c>
      <c r="Y57" s="106">
        <f t="shared" si="8"/>
        <v>2047</v>
      </c>
      <c r="Z57" s="106">
        <f t="shared" si="8"/>
        <v>2048</v>
      </c>
      <c r="AA57" s="106">
        <f t="shared" si="8"/>
        <v>2049</v>
      </c>
      <c r="AB57" s="106">
        <f t="shared" si="8"/>
        <v>2050</v>
      </c>
      <c r="AC57" s="106">
        <f t="shared" si="8"/>
        <v>2051</v>
      </c>
      <c r="AD57" s="106">
        <f t="shared" si="8"/>
        <v>2052</v>
      </c>
      <c r="AE57" s="106">
        <f t="shared" si="8"/>
        <v>2053</v>
      </c>
      <c r="AF57" s="106">
        <f t="shared" si="8"/>
        <v>2054</v>
      </c>
      <c r="AG57" s="106">
        <f t="shared" si="8"/>
        <v>2055</v>
      </c>
      <c r="AH57" s="106">
        <f t="shared" si="8"/>
        <v>2056</v>
      </c>
      <c r="AI57" s="106">
        <f t="shared" ref="AI57:AZ57" si="9">current_year +AI56</f>
        <v>2057</v>
      </c>
      <c r="AJ57" s="106">
        <f t="shared" si="9"/>
        <v>2058</v>
      </c>
      <c r="AK57" s="106">
        <f t="shared" si="9"/>
        <v>2059</v>
      </c>
      <c r="AL57" s="106">
        <f t="shared" si="9"/>
        <v>2060</v>
      </c>
      <c r="AM57" s="106">
        <f t="shared" si="9"/>
        <v>2061</v>
      </c>
      <c r="AN57" s="106">
        <f t="shared" si="9"/>
        <v>2062</v>
      </c>
      <c r="AO57" s="106">
        <f t="shared" si="9"/>
        <v>2063</v>
      </c>
      <c r="AP57" s="106">
        <f t="shared" si="9"/>
        <v>2064</v>
      </c>
      <c r="AQ57" s="106">
        <f t="shared" si="9"/>
        <v>2065</v>
      </c>
      <c r="AR57" s="106">
        <f t="shared" si="9"/>
        <v>2066</v>
      </c>
      <c r="AS57" s="106">
        <f t="shared" si="9"/>
        <v>2067</v>
      </c>
      <c r="AT57" s="106">
        <f t="shared" si="9"/>
        <v>2068</v>
      </c>
      <c r="AU57" s="106">
        <f t="shared" si="9"/>
        <v>2069</v>
      </c>
      <c r="AV57" s="106">
        <f t="shared" si="9"/>
        <v>2070</v>
      </c>
      <c r="AW57" s="106">
        <f t="shared" si="9"/>
        <v>2071</v>
      </c>
      <c r="AX57" s="106">
        <f t="shared" si="9"/>
        <v>2072</v>
      </c>
      <c r="AY57" s="106">
        <f t="shared" si="9"/>
        <v>2073</v>
      </c>
      <c r="AZ57" s="106">
        <f t="shared" si="9"/>
        <v>2074</v>
      </c>
    </row>
    <row r="58" spans="2:53">
      <c r="B58" s="172" t="s">
        <v>558</v>
      </c>
      <c r="C58" s="174">
        <f ca="1">IFERROR(SUMPRODUCT(UVG_Input_Data!D40:$AZ40,OFFSET(Inputparam!$C$34:$AY$34,0,0,1,49-UVG_Calculations!C$56)), 0)</f>
        <v>0</v>
      </c>
      <c r="D58" s="174">
        <f ca="1">IFERROR(SUMPRODUCT(UVG_Input_Data!E40:$AZ40,OFFSET(Inputparam!$C$34:$AY$34,0,0,1,49-UVG_Calculations!D$56)), 0)</f>
        <v>0</v>
      </c>
      <c r="E58" s="174">
        <f ca="1">IFERROR(SUMPRODUCT(UVG_Input_Data!F40:$AZ40,OFFSET(Inputparam!$C$34:$AY$34,0,0,1,49-UVG_Calculations!E$56)), 0)</f>
        <v>0</v>
      </c>
      <c r="F58" s="174">
        <f ca="1">IFERROR(SUMPRODUCT(UVG_Input_Data!G40:$AZ40,OFFSET(Inputparam!$C$34:$AY$34,0,0,1,49-UVG_Calculations!F$56)), 0)</f>
        <v>0</v>
      </c>
      <c r="G58" s="174">
        <f ca="1">IFERROR(SUMPRODUCT(UVG_Input_Data!H40:$AZ40,OFFSET(Inputparam!$C$34:$AY$34,0,0,1,49-UVG_Calculations!G$56)), 0)</f>
        <v>0</v>
      </c>
      <c r="H58" s="174">
        <f ca="1">IFERROR(SUMPRODUCT(UVG_Input_Data!I40:$AZ40,OFFSET(Inputparam!$C$34:$AY$34,0,0,1,49-UVG_Calculations!H$56)), 0)</f>
        <v>0</v>
      </c>
      <c r="I58" s="174">
        <f ca="1">IFERROR(SUMPRODUCT(UVG_Input_Data!J40:$AZ40,OFFSET(Inputparam!$C$34:$AY$34,0,0,1,49-UVG_Calculations!I$56)), 0)</f>
        <v>0</v>
      </c>
      <c r="J58" s="174">
        <f ca="1">IFERROR(SUMPRODUCT(UVG_Input_Data!K40:$AZ40,OFFSET(Inputparam!$C$34:$AY$34,0,0,1,49-UVG_Calculations!J$56)), 0)</f>
        <v>0</v>
      </c>
      <c r="K58" s="174">
        <f ca="1">IFERROR(SUMPRODUCT(UVG_Input_Data!L40:$AZ40,OFFSET(Inputparam!$C$34:$AY$34,0,0,1,49-UVG_Calculations!K$56)), 0)</f>
        <v>0</v>
      </c>
      <c r="L58" s="174">
        <f ca="1">IFERROR(SUMPRODUCT(UVG_Input_Data!M40:$AZ40,OFFSET(Inputparam!$C$34:$AY$34,0,0,1,49-UVG_Calculations!L$56)), 0)</f>
        <v>0</v>
      </c>
      <c r="M58" s="174">
        <f ca="1">IFERROR(SUMPRODUCT(UVG_Input_Data!N40:$AZ40,OFFSET(Inputparam!$C$34:$AY$34,0,0,1,49-UVG_Calculations!M$56)), 0)</f>
        <v>0</v>
      </c>
      <c r="N58" s="174">
        <f ca="1">IFERROR(SUMPRODUCT(UVG_Input_Data!O40:$AZ40,OFFSET(Inputparam!$C$34:$AY$34,0,0,1,49-UVG_Calculations!N$56)), 0)</f>
        <v>0</v>
      </c>
      <c r="O58" s="174">
        <f ca="1">IFERROR(SUMPRODUCT(UVG_Input_Data!P40:$AZ40,OFFSET(Inputparam!$C$34:$AY$34,0,0,1,49-UVG_Calculations!O$56)), 0)</f>
        <v>0</v>
      </c>
      <c r="P58" s="174">
        <f ca="1">IFERROR(SUMPRODUCT(UVG_Input_Data!Q40:$AZ40,OFFSET(Inputparam!$C$34:$AY$34,0,0,1,49-UVG_Calculations!P$56)), 0)</f>
        <v>0</v>
      </c>
      <c r="Q58" s="174">
        <f ca="1">IFERROR(SUMPRODUCT(UVG_Input_Data!R40:$AZ40,OFFSET(Inputparam!$C$34:$AY$34,0,0,1,49-UVG_Calculations!Q$56)), 0)</f>
        <v>0</v>
      </c>
      <c r="R58" s="174">
        <f ca="1">IFERROR(SUMPRODUCT(UVG_Input_Data!S40:$AZ40,OFFSET(Inputparam!$C$34:$AY$34,0,0,1,49-UVG_Calculations!R$56)), 0)</f>
        <v>0</v>
      </c>
      <c r="S58" s="174">
        <f ca="1">IFERROR(SUMPRODUCT(UVG_Input_Data!T40:$AZ40,OFFSET(Inputparam!$C$34:$AY$34,0,0,1,49-UVG_Calculations!S$56)), 0)</f>
        <v>0</v>
      </c>
      <c r="T58" s="174">
        <f ca="1">IFERROR(SUMPRODUCT(UVG_Input_Data!U40:$AZ40,OFFSET(Inputparam!$C$34:$AY$34,0,0,1,49-UVG_Calculations!T$56)), 0)</f>
        <v>0</v>
      </c>
      <c r="U58" s="174">
        <f ca="1">IFERROR(SUMPRODUCT(UVG_Input_Data!V40:$AZ40,OFFSET(Inputparam!$C$34:$AY$34,0,0,1,49-UVG_Calculations!U$56)), 0)</f>
        <v>0</v>
      </c>
      <c r="V58" s="174">
        <f ca="1">IFERROR(SUMPRODUCT(UVG_Input_Data!W40:$AZ40,OFFSET(Inputparam!$C$34:$AY$34,0,0,1,49-UVG_Calculations!V$56)), 0)</f>
        <v>0</v>
      </c>
      <c r="W58" s="174">
        <f ca="1">IFERROR(SUMPRODUCT(UVG_Input_Data!X40:$AZ40,OFFSET(Inputparam!$C$34:$AY$34,0,0,1,49-UVG_Calculations!W$56)), 0)</f>
        <v>0</v>
      </c>
      <c r="X58" s="174">
        <f ca="1">IFERROR(SUMPRODUCT(UVG_Input_Data!Y40:$AZ40,OFFSET(Inputparam!$C$34:$AY$34,0,0,1,49-UVG_Calculations!X$56)), 0)</f>
        <v>0</v>
      </c>
      <c r="Y58" s="174">
        <f ca="1">IFERROR(SUMPRODUCT(UVG_Input_Data!Z40:$AZ40,OFFSET(Inputparam!$C$34:$AY$34,0,0,1,49-UVG_Calculations!Y$56)), 0)</f>
        <v>0</v>
      </c>
      <c r="Z58" s="174">
        <f ca="1">IFERROR(SUMPRODUCT(UVG_Input_Data!AA40:$AZ40,OFFSET(Inputparam!$C$34:$AY$34,0,0,1,49-UVG_Calculations!Z$56)), 0)</f>
        <v>0</v>
      </c>
      <c r="AA58" s="174">
        <f ca="1">IFERROR(SUMPRODUCT(UVG_Input_Data!AB40:$AZ40,OFFSET(Inputparam!$C$34:$AY$34,0,0,1,49-UVG_Calculations!AA$56)), 0)</f>
        <v>0</v>
      </c>
      <c r="AB58" s="174">
        <f ca="1">IFERROR(SUMPRODUCT(UVG_Input_Data!AC40:$AZ40,OFFSET(Inputparam!$C$34:$AY$34,0,0,1,49-UVG_Calculations!AB$56)), 0)</f>
        <v>0</v>
      </c>
      <c r="AC58" s="174">
        <f ca="1">IFERROR(SUMPRODUCT(UVG_Input_Data!AD40:$AZ40,OFFSET(Inputparam!$C$34:$AY$34,0,0,1,49-UVG_Calculations!AC$56)), 0)</f>
        <v>0</v>
      </c>
      <c r="AD58" s="174">
        <f ca="1">IFERROR(SUMPRODUCT(UVG_Input_Data!AE40:$AZ40,OFFSET(Inputparam!$C$34:$AY$34,0,0,1,49-UVG_Calculations!AD$56)), 0)</f>
        <v>0</v>
      </c>
      <c r="AE58" s="174">
        <f ca="1">IFERROR(SUMPRODUCT(UVG_Input_Data!AF40:$AZ40,OFFSET(Inputparam!$C$34:$AY$34,0,0,1,49-UVG_Calculations!AE$56)), 0)</f>
        <v>0</v>
      </c>
      <c r="AF58" s="174">
        <f ca="1">IFERROR(SUMPRODUCT(UVG_Input_Data!AG40:$AZ40,OFFSET(Inputparam!$C$34:$AY$34,0,0,1,49-UVG_Calculations!AF$56)), 0)</f>
        <v>0</v>
      </c>
      <c r="AG58" s="174">
        <f ca="1">IFERROR(SUMPRODUCT(UVG_Input_Data!AH40:$AZ40,OFFSET(Inputparam!$C$34:$AY$34,0,0,1,49-UVG_Calculations!AG$56)), 0)</f>
        <v>0</v>
      </c>
      <c r="AH58" s="174">
        <f ca="1">IFERROR(SUMPRODUCT(UVG_Input_Data!AI40:$AZ40,OFFSET(Inputparam!$C$34:$AY$34,0,0,1,49-UVG_Calculations!AH$56)), 0)</f>
        <v>0</v>
      </c>
      <c r="AI58" s="174">
        <f ca="1">IFERROR(SUMPRODUCT(UVG_Input_Data!AJ40:$AZ40,OFFSET(Inputparam!$C$34:$AY$34,0,0,1,49-UVG_Calculations!AI$56)), 0)</f>
        <v>0</v>
      </c>
      <c r="AJ58" s="174">
        <f ca="1">IFERROR(SUMPRODUCT(UVG_Input_Data!AK40:$AZ40,OFFSET(Inputparam!$C$34:$AY$34,0,0,1,49-UVG_Calculations!AJ$56)), 0)</f>
        <v>0</v>
      </c>
      <c r="AK58" s="174">
        <f ca="1">IFERROR(SUMPRODUCT(UVG_Input_Data!AL40:$AZ40,OFFSET(Inputparam!$C$34:$AY$34,0,0,1,49-UVG_Calculations!AK$56)), 0)</f>
        <v>0</v>
      </c>
      <c r="AL58" s="174">
        <f ca="1">IFERROR(SUMPRODUCT(UVG_Input_Data!AM40:$AZ40,OFFSET(Inputparam!$C$34:$AY$34,0,0,1,49-UVG_Calculations!AL$56)), 0)</f>
        <v>0</v>
      </c>
      <c r="AM58" s="174">
        <f ca="1">IFERROR(SUMPRODUCT(UVG_Input_Data!AN40:$AZ40,OFFSET(Inputparam!$C$34:$AY$34,0,0,1,49-UVG_Calculations!AM$56)), 0)</f>
        <v>0</v>
      </c>
      <c r="AN58" s="174">
        <f ca="1">IFERROR(SUMPRODUCT(UVG_Input_Data!AO40:$AZ40,OFFSET(Inputparam!$C$34:$AY$34,0,0,1,49-UVG_Calculations!AN$56)), 0)</f>
        <v>0</v>
      </c>
      <c r="AO58" s="174">
        <f ca="1">IFERROR(SUMPRODUCT(UVG_Input_Data!AP40:$AZ40,OFFSET(Inputparam!$C$34:$AY$34,0,0,1,49-UVG_Calculations!AO$56)), 0)</f>
        <v>0</v>
      </c>
      <c r="AP58" s="174">
        <f ca="1">IFERROR(SUMPRODUCT(UVG_Input_Data!AQ40:$AZ40,OFFSET(Inputparam!$C$34:$AY$34,0,0,1,49-UVG_Calculations!AP$56)), 0)</f>
        <v>0</v>
      </c>
      <c r="AQ58" s="174">
        <f ca="1">IFERROR(SUMPRODUCT(UVG_Input_Data!AR40:$AZ40,OFFSET(Inputparam!$C$34:$AY$34,0,0,1,49-UVG_Calculations!AQ$56)), 0)</f>
        <v>0</v>
      </c>
      <c r="AR58" s="174">
        <f ca="1">IFERROR(SUMPRODUCT(UVG_Input_Data!AS40:$AZ40,OFFSET(Inputparam!$C$34:$AY$34,0,0,1,49-UVG_Calculations!AR$56)), 0)</f>
        <v>0</v>
      </c>
      <c r="AS58" s="174">
        <f ca="1">IFERROR(SUMPRODUCT(UVG_Input_Data!AT40:$AZ40,OFFSET(Inputparam!$C$34:$AY$34,0,0,1,49-UVG_Calculations!AS$56)), 0)</f>
        <v>0</v>
      </c>
      <c r="AT58" s="174">
        <f ca="1">IFERROR(SUMPRODUCT(UVG_Input_Data!AU40:$AZ40,OFFSET(Inputparam!$C$34:$AY$34,0,0,1,49-UVG_Calculations!AT$56)), 0)</f>
        <v>0</v>
      </c>
      <c r="AU58" s="174">
        <f ca="1">IFERROR(SUMPRODUCT(UVG_Input_Data!AV40:$AZ40,OFFSET(Inputparam!$C$34:$AY$34,0,0,1,49-UVG_Calculations!AU$56)), 0)</f>
        <v>0</v>
      </c>
      <c r="AV58" s="174">
        <f ca="1">IFERROR(SUMPRODUCT(UVG_Input_Data!AW40:$AZ40,OFFSET(Inputparam!$C$34:$AY$34,0,0,1,49-UVG_Calculations!AV$56)), 0)</f>
        <v>0</v>
      </c>
      <c r="AW58" s="174">
        <f ca="1">IFERROR(SUMPRODUCT(UVG_Input_Data!AX40:$AZ40,OFFSET(Inputparam!$C$34:$AY$34,0,0,1,49-UVG_Calculations!AW$56)), 0)</f>
        <v>0</v>
      </c>
      <c r="AX58" s="174">
        <f ca="1">IFERROR(SUMPRODUCT(UVG_Input_Data!AY40:$AZ40,OFFSET(Inputparam!$C$34:$AY$34,0,0,1,49-UVG_Calculations!AX$56)), 0)</f>
        <v>0</v>
      </c>
      <c r="AY58" s="174">
        <f ca="1">IFERROR(SUMPRODUCT(UVG_Input_Data!AZ40:$AZ40,OFFSET(Inputparam!$C$34:$AY$34,0,0,1,49-UVG_Calculations!AY$56)), 0)</f>
        <v>0</v>
      </c>
      <c r="AZ58" s="174">
        <f ca="1">IFERROR(SUMPRODUCT(UVG_Input_Data!$AZ40:BA40,OFFSET(Inputparam!$C$34:$AY$34,0,0,1,49-UVG_Calculations!AZ$56)), 0)</f>
        <v>0</v>
      </c>
    </row>
    <row r="59" spans="2:53">
      <c r="B59" s="172" t="s">
        <v>559</v>
      </c>
      <c r="C59" s="171"/>
      <c r="D59" s="174">
        <f ca="1">IFERROR(SUMPRODUCT(UVG_Input_Data!E41:$AZ41,OFFSET(Inputparam!$C$34:$AY$34,0,0,1,49-UVG_Calculations!D$56)), 0)</f>
        <v>0</v>
      </c>
      <c r="E59" s="174">
        <f ca="1">IFERROR(SUMPRODUCT(UVG_Input_Data!F41:$AZ41,OFFSET(Inputparam!$C$34:$AY$34,0,0,1,49-UVG_Calculations!E$56)), 0)</f>
        <v>0</v>
      </c>
      <c r="F59" s="174">
        <f ca="1">IFERROR(SUMPRODUCT(UVG_Input_Data!G41:$AZ41,OFFSET(Inputparam!$C$34:$AY$34,0,0,1,49-UVG_Calculations!F$56)), 0)</f>
        <v>0</v>
      </c>
      <c r="G59" s="174">
        <f ca="1">IFERROR(SUMPRODUCT(UVG_Input_Data!H41:$AZ41,OFFSET(Inputparam!$C$34:$AY$34,0,0,1,49-UVG_Calculations!G$56)), 0)</f>
        <v>0</v>
      </c>
      <c r="H59" s="174">
        <f ca="1">IFERROR(SUMPRODUCT(UVG_Input_Data!I41:$AZ41,OFFSET(Inputparam!$C$34:$AY$34,0,0,1,49-UVG_Calculations!H$56)), 0)</f>
        <v>0</v>
      </c>
      <c r="I59" s="174">
        <f ca="1">IFERROR(SUMPRODUCT(UVG_Input_Data!J41:$AZ41,OFFSET(Inputparam!$C$34:$AY$34,0,0,1,49-UVG_Calculations!I$56)), 0)</f>
        <v>0</v>
      </c>
      <c r="J59" s="174">
        <f ca="1">IFERROR(SUMPRODUCT(UVG_Input_Data!K41:$AZ41,OFFSET(Inputparam!$C$34:$AY$34,0,0,1,49-UVG_Calculations!J$56)), 0)</f>
        <v>0</v>
      </c>
      <c r="K59" s="174">
        <f ca="1">IFERROR(SUMPRODUCT(UVG_Input_Data!L41:$AZ41,OFFSET(Inputparam!$C$34:$AY$34,0,0,1,49-UVG_Calculations!K$56)), 0)</f>
        <v>0</v>
      </c>
      <c r="L59" s="174">
        <f ca="1">IFERROR(SUMPRODUCT(UVG_Input_Data!M41:$AZ41,OFFSET(Inputparam!$C$34:$AY$34,0,0,1,49-UVG_Calculations!L$56)), 0)</f>
        <v>0</v>
      </c>
      <c r="M59" s="174">
        <f ca="1">IFERROR(SUMPRODUCT(UVG_Input_Data!N41:$AZ41,OFFSET(Inputparam!$C$34:$AY$34,0,0,1,49-UVG_Calculations!M$56)), 0)</f>
        <v>0</v>
      </c>
      <c r="N59" s="174">
        <f ca="1">IFERROR(SUMPRODUCT(UVG_Input_Data!O41:$AZ41,OFFSET(Inputparam!$C$34:$AY$34,0,0,1,49-UVG_Calculations!N$56)), 0)</f>
        <v>0</v>
      </c>
      <c r="O59" s="174">
        <f ca="1">IFERROR(SUMPRODUCT(UVG_Input_Data!P41:$AZ41,OFFSET(Inputparam!$C$34:$AY$34,0,0,1,49-UVG_Calculations!O$56)), 0)</f>
        <v>0</v>
      </c>
      <c r="P59" s="174">
        <f ca="1">IFERROR(SUMPRODUCT(UVG_Input_Data!Q41:$AZ41,OFFSET(Inputparam!$C$34:$AY$34,0,0,1,49-UVG_Calculations!P$56)), 0)</f>
        <v>0</v>
      </c>
      <c r="Q59" s="174">
        <f ca="1">IFERROR(SUMPRODUCT(UVG_Input_Data!R41:$AZ41,OFFSET(Inputparam!$C$34:$AY$34,0,0,1,49-UVG_Calculations!Q$56)), 0)</f>
        <v>0</v>
      </c>
      <c r="R59" s="174">
        <f ca="1">IFERROR(SUMPRODUCT(UVG_Input_Data!S41:$AZ41,OFFSET(Inputparam!$C$34:$AY$34,0,0,1,49-UVG_Calculations!R$56)), 0)</f>
        <v>0</v>
      </c>
      <c r="S59" s="174">
        <f ca="1">IFERROR(SUMPRODUCT(UVG_Input_Data!T41:$AZ41,OFFSET(Inputparam!$C$34:$AY$34,0,0,1,49-UVG_Calculations!S$56)), 0)</f>
        <v>0</v>
      </c>
      <c r="T59" s="174">
        <f ca="1">IFERROR(SUMPRODUCT(UVG_Input_Data!U41:$AZ41,OFFSET(Inputparam!$C$34:$AY$34,0,0,1,49-UVG_Calculations!T$56)), 0)</f>
        <v>0</v>
      </c>
      <c r="U59" s="174">
        <f ca="1">IFERROR(SUMPRODUCT(UVG_Input_Data!V41:$AZ41,OFFSET(Inputparam!$C$34:$AY$34,0,0,1,49-UVG_Calculations!U$56)), 0)</f>
        <v>0</v>
      </c>
      <c r="V59" s="174">
        <f ca="1">IFERROR(SUMPRODUCT(UVG_Input_Data!W41:$AZ41,OFFSET(Inputparam!$C$34:$AY$34,0,0,1,49-UVG_Calculations!V$56)), 0)</f>
        <v>0</v>
      </c>
      <c r="W59" s="174">
        <f ca="1">IFERROR(SUMPRODUCT(UVG_Input_Data!X41:$AZ41,OFFSET(Inputparam!$C$34:$AY$34,0,0,1,49-UVG_Calculations!W$56)), 0)</f>
        <v>0</v>
      </c>
      <c r="X59" s="174">
        <f ca="1">IFERROR(SUMPRODUCT(UVG_Input_Data!Y41:$AZ41,OFFSET(Inputparam!$C$34:$AY$34,0,0,1,49-UVG_Calculations!X$56)), 0)</f>
        <v>0</v>
      </c>
      <c r="Y59" s="174">
        <f ca="1">IFERROR(SUMPRODUCT(UVG_Input_Data!Z41:$AZ41,OFFSET(Inputparam!$C$34:$AY$34,0,0,1,49-UVG_Calculations!Y$56)), 0)</f>
        <v>0</v>
      </c>
      <c r="Z59" s="174">
        <f ca="1">IFERROR(SUMPRODUCT(UVG_Input_Data!AA41:$AZ41,OFFSET(Inputparam!$C$34:$AY$34,0,0,1,49-UVG_Calculations!Z$56)), 0)</f>
        <v>0</v>
      </c>
      <c r="AA59" s="174">
        <f ca="1">IFERROR(SUMPRODUCT(UVG_Input_Data!AB41:$AZ41,OFFSET(Inputparam!$C$34:$AY$34,0,0,1,49-UVG_Calculations!AA$56)), 0)</f>
        <v>0</v>
      </c>
      <c r="AB59" s="174">
        <f ca="1">IFERROR(SUMPRODUCT(UVG_Input_Data!AC41:$AZ41,OFFSET(Inputparam!$C$34:$AY$34,0,0,1,49-UVG_Calculations!AB$56)), 0)</f>
        <v>0</v>
      </c>
      <c r="AC59" s="174">
        <f ca="1">IFERROR(SUMPRODUCT(UVG_Input_Data!AD41:$AZ41,OFFSET(Inputparam!$C$34:$AY$34,0,0,1,49-UVG_Calculations!AC$56)), 0)</f>
        <v>0</v>
      </c>
      <c r="AD59" s="174">
        <f ca="1">IFERROR(SUMPRODUCT(UVG_Input_Data!AE41:$AZ41,OFFSET(Inputparam!$C$34:$AY$34,0,0,1,49-UVG_Calculations!AD$56)), 0)</f>
        <v>0</v>
      </c>
      <c r="AE59" s="174">
        <f ca="1">IFERROR(SUMPRODUCT(UVG_Input_Data!AF41:$AZ41,OFFSET(Inputparam!$C$34:$AY$34,0,0,1,49-UVG_Calculations!AE$56)), 0)</f>
        <v>0</v>
      </c>
      <c r="AF59" s="174">
        <f ca="1">IFERROR(SUMPRODUCT(UVG_Input_Data!AG41:$AZ41,OFFSET(Inputparam!$C$34:$AY$34,0,0,1,49-UVG_Calculations!AF$56)), 0)</f>
        <v>0</v>
      </c>
      <c r="AG59" s="174">
        <f ca="1">IFERROR(SUMPRODUCT(UVG_Input_Data!AH41:$AZ41,OFFSET(Inputparam!$C$34:$AY$34,0,0,1,49-UVG_Calculations!AG$56)), 0)</f>
        <v>0</v>
      </c>
      <c r="AH59" s="174">
        <f ca="1">IFERROR(SUMPRODUCT(UVG_Input_Data!AI41:$AZ41,OFFSET(Inputparam!$C$34:$AY$34,0,0,1,49-UVG_Calculations!AH$56)), 0)</f>
        <v>0</v>
      </c>
      <c r="AI59" s="174">
        <f ca="1">IFERROR(SUMPRODUCT(UVG_Input_Data!AJ41:$AZ41,OFFSET(Inputparam!$C$34:$AY$34,0,0,1,49-UVG_Calculations!AI$56)), 0)</f>
        <v>0</v>
      </c>
      <c r="AJ59" s="174">
        <f ca="1">IFERROR(SUMPRODUCT(UVG_Input_Data!AK41:$AZ41,OFFSET(Inputparam!$C$34:$AY$34,0,0,1,49-UVG_Calculations!AJ$56)), 0)</f>
        <v>0</v>
      </c>
      <c r="AK59" s="174">
        <f ca="1">IFERROR(SUMPRODUCT(UVG_Input_Data!AL41:$AZ41,OFFSET(Inputparam!$C$34:$AY$34,0,0,1,49-UVG_Calculations!AK$56)), 0)</f>
        <v>0</v>
      </c>
      <c r="AL59" s="174">
        <f ca="1">IFERROR(SUMPRODUCT(UVG_Input_Data!AM41:$AZ41,OFFSET(Inputparam!$C$34:$AY$34,0,0,1,49-UVG_Calculations!AL$56)), 0)</f>
        <v>0</v>
      </c>
      <c r="AM59" s="174">
        <f ca="1">IFERROR(SUMPRODUCT(UVG_Input_Data!AN41:$AZ41,OFFSET(Inputparam!$C$34:$AY$34,0,0,1,49-UVG_Calculations!AM$56)), 0)</f>
        <v>0</v>
      </c>
      <c r="AN59" s="174">
        <f ca="1">IFERROR(SUMPRODUCT(UVG_Input_Data!AO41:$AZ41,OFFSET(Inputparam!$C$34:$AY$34,0,0,1,49-UVG_Calculations!AN$56)), 0)</f>
        <v>0</v>
      </c>
      <c r="AO59" s="174">
        <f ca="1">IFERROR(SUMPRODUCT(UVG_Input_Data!AP41:$AZ41,OFFSET(Inputparam!$C$34:$AY$34,0,0,1,49-UVG_Calculations!AO$56)), 0)</f>
        <v>0</v>
      </c>
      <c r="AP59" s="174">
        <f ca="1">IFERROR(SUMPRODUCT(UVG_Input_Data!AQ41:$AZ41,OFFSET(Inputparam!$C$34:$AY$34,0,0,1,49-UVG_Calculations!AP$56)), 0)</f>
        <v>0</v>
      </c>
      <c r="AQ59" s="174">
        <f ca="1">IFERROR(SUMPRODUCT(UVG_Input_Data!AR41:$AZ41,OFFSET(Inputparam!$C$34:$AY$34,0,0,1,49-UVG_Calculations!AQ$56)), 0)</f>
        <v>0</v>
      </c>
      <c r="AR59" s="174">
        <f ca="1">IFERROR(SUMPRODUCT(UVG_Input_Data!AS41:$AZ41,OFFSET(Inputparam!$C$34:$AY$34,0,0,1,49-UVG_Calculations!AR$56)), 0)</f>
        <v>0</v>
      </c>
      <c r="AS59" s="174">
        <f ca="1">IFERROR(SUMPRODUCT(UVG_Input_Data!AT41:$AZ41,OFFSET(Inputparam!$C$34:$AY$34,0,0,1,49-UVG_Calculations!AS$56)), 0)</f>
        <v>0</v>
      </c>
      <c r="AT59" s="174">
        <f ca="1">IFERROR(SUMPRODUCT(UVG_Input_Data!AU41:$AZ41,OFFSET(Inputparam!$C$34:$AY$34,0,0,1,49-UVG_Calculations!AT$56)), 0)</f>
        <v>0</v>
      </c>
      <c r="AU59" s="174">
        <f ca="1">IFERROR(SUMPRODUCT(UVG_Input_Data!AV41:$AZ41,OFFSET(Inputparam!$C$34:$AY$34,0,0,1,49-UVG_Calculations!AU$56)), 0)</f>
        <v>0</v>
      </c>
      <c r="AV59" s="174">
        <f ca="1">IFERROR(SUMPRODUCT(UVG_Input_Data!AW41:$AZ41,OFFSET(Inputparam!$C$34:$AY$34,0,0,1,49-UVG_Calculations!AV$56)), 0)</f>
        <v>0</v>
      </c>
      <c r="AW59" s="174">
        <f ca="1">IFERROR(SUMPRODUCT(UVG_Input_Data!AX41:$AZ41,OFFSET(Inputparam!$C$34:$AY$34,0,0,1,49-UVG_Calculations!AW$56)), 0)</f>
        <v>0</v>
      </c>
      <c r="AX59" s="174">
        <f ca="1">IFERROR(SUMPRODUCT(UVG_Input_Data!AY41:$AZ41,OFFSET(Inputparam!$C$34:$AY$34,0,0,1,49-UVG_Calculations!AX$56)), 0)</f>
        <v>0</v>
      </c>
      <c r="AY59" s="174">
        <f ca="1">IFERROR(SUMPRODUCT(UVG_Input_Data!AZ41:$AZ41,OFFSET(Inputparam!$C$34:$AY$34,0,0,1,49-UVG_Calculations!AY$56)), 0)</f>
        <v>0</v>
      </c>
      <c r="AZ59" s="174">
        <f ca="1">IFERROR(SUMPRODUCT(UVG_Input_Data!$AZ41:BA41,OFFSET(Inputparam!$C$34:$AY$34,0,0,1,49-UVG_Calculations!AZ$56)), 0)</f>
        <v>0</v>
      </c>
    </row>
    <row r="60" spans="2:53">
      <c r="B60" s="172" t="s">
        <v>560</v>
      </c>
      <c r="C60" s="171"/>
      <c r="D60" s="84"/>
      <c r="E60" s="174">
        <f ca="1">IFERROR(SUMPRODUCT(UVG_Input_Data!F42:$AZ42,OFFSET(Inputparam!$C$34:$AY$34,0,0,1,49-UVG_Calculations!E$56)), 0)</f>
        <v>0</v>
      </c>
      <c r="F60" s="174">
        <f ca="1">IFERROR(SUMPRODUCT(UVG_Input_Data!G42:$AZ42,OFFSET(Inputparam!$C$34:$AY$34,0,0,1,49-UVG_Calculations!F$56)), 0)</f>
        <v>0</v>
      </c>
      <c r="G60" s="174">
        <f ca="1">IFERROR(SUMPRODUCT(UVG_Input_Data!H42:$AZ42,OFFSET(Inputparam!$C$34:$AY$34,0,0,1,49-UVG_Calculations!G$56)), 0)</f>
        <v>0</v>
      </c>
      <c r="H60" s="174">
        <f ca="1">IFERROR(SUMPRODUCT(UVG_Input_Data!I42:$AZ42,OFFSET(Inputparam!$C$34:$AY$34,0,0,1,49-UVG_Calculations!H$56)), 0)</f>
        <v>0</v>
      </c>
      <c r="I60" s="174">
        <f ca="1">IFERROR(SUMPRODUCT(UVG_Input_Data!J42:$AZ42,OFFSET(Inputparam!$C$34:$AY$34,0,0,1,49-UVG_Calculations!I$56)), 0)</f>
        <v>0</v>
      </c>
      <c r="J60" s="174">
        <f ca="1">IFERROR(SUMPRODUCT(UVG_Input_Data!K42:$AZ42,OFFSET(Inputparam!$C$34:$AY$34,0,0,1,49-UVG_Calculations!J$56)), 0)</f>
        <v>0</v>
      </c>
      <c r="K60" s="174">
        <f ca="1">IFERROR(SUMPRODUCT(UVG_Input_Data!L42:$AZ42,OFFSET(Inputparam!$C$34:$AY$34,0,0,1,49-UVG_Calculations!K$56)), 0)</f>
        <v>0</v>
      </c>
      <c r="L60" s="174">
        <f ca="1">IFERROR(SUMPRODUCT(UVG_Input_Data!M42:$AZ42,OFFSET(Inputparam!$C$34:$AY$34,0,0,1,49-UVG_Calculations!L$56)), 0)</f>
        <v>0</v>
      </c>
      <c r="M60" s="174">
        <f ca="1">IFERROR(SUMPRODUCT(UVG_Input_Data!N42:$AZ42,OFFSET(Inputparam!$C$34:$AY$34,0,0,1,49-UVG_Calculations!M$56)), 0)</f>
        <v>0</v>
      </c>
      <c r="N60" s="174">
        <f ca="1">IFERROR(SUMPRODUCT(UVG_Input_Data!O42:$AZ42,OFFSET(Inputparam!$C$34:$AY$34,0,0,1,49-UVG_Calculations!N$56)), 0)</f>
        <v>0</v>
      </c>
      <c r="O60" s="174">
        <f ca="1">IFERROR(SUMPRODUCT(UVG_Input_Data!P42:$AZ42,OFFSET(Inputparam!$C$34:$AY$34,0,0,1,49-UVG_Calculations!O$56)), 0)</f>
        <v>0</v>
      </c>
      <c r="P60" s="174">
        <f ca="1">IFERROR(SUMPRODUCT(UVG_Input_Data!Q42:$AZ42,OFFSET(Inputparam!$C$34:$AY$34,0,0,1,49-UVG_Calculations!P$56)), 0)</f>
        <v>0</v>
      </c>
      <c r="Q60" s="174">
        <f ca="1">IFERROR(SUMPRODUCT(UVG_Input_Data!R42:$AZ42,OFFSET(Inputparam!$C$34:$AY$34,0,0,1,49-UVG_Calculations!Q$56)), 0)</f>
        <v>0</v>
      </c>
      <c r="R60" s="174">
        <f ca="1">IFERROR(SUMPRODUCT(UVG_Input_Data!S42:$AZ42,OFFSET(Inputparam!$C$34:$AY$34,0,0,1,49-UVG_Calculations!R$56)), 0)</f>
        <v>0</v>
      </c>
      <c r="S60" s="174">
        <f ca="1">IFERROR(SUMPRODUCT(UVG_Input_Data!T42:$AZ42,OFFSET(Inputparam!$C$34:$AY$34,0,0,1,49-UVG_Calculations!S$56)), 0)</f>
        <v>0</v>
      </c>
      <c r="T60" s="174">
        <f ca="1">IFERROR(SUMPRODUCT(UVG_Input_Data!U42:$AZ42,OFFSET(Inputparam!$C$34:$AY$34,0,0,1,49-UVG_Calculations!T$56)), 0)</f>
        <v>0</v>
      </c>
      <c r="U60" s="174">
        <f ca="1">IFERROR(SUMPRODUCT(UVG_Input_Data!V42:$AZ42,OFFSET(Inputparam!$C$34:$AY$34,0,0,1,49-UVG_Calculations!U$56)), 0)</f>
        <v>0</v>
      </c>
      <c r="V60" s="174">
        <f ca="1">IFERROR(SUMPRODUCT(UVG_Input_Data!W42:$AZ42,OFFSET(Inputparam!$C$34:$AY$34,0,0,1,49-UVG_Calculations!V$56)), 0)</f>
        <v>0</v>
      </c>
      <c r="W60" s="174">
        <f ca="1">IFERROR(SUMPRODUCT(UVG_Input_Data!X42:$AZ42,OFFSET(Inputparam!$C$34:$AY$34,0,0,1,49-UVG_Calculations!W$56)), 0)</f>
        <v>0</v>
      </c>
      <c r="X60" s="174">
        <f ca="1">IFERROR(SUMPRODUCT(UVG_Input_Data!Y42:$AZ42,OFFSET(Inputparam!$C$34:$AY$34,0,0,1,49-UVG_Calculations!X$56)), 0)</f>
        <v>0</v>
      </c>
      <c r="Y60" s="174">
        <f ca="1">IFERROR(SUMPRODUCT(UVG_Input_Data!Z42:$AZ42,OFFSET(Inputparam!$C$34:$AY$34,0,0,1,49-UVG_Calculations!Y$56)), 0)</f>
        <v>0</v>
      </c>
      <c r="Z60" s="174">
        <f ca="1">IFERROR(SUMPRODUCT(UVG_Input_Data!AA42:$AZ42,OFFSET(Inputparam!$C$34:$AY$34,0,0,1,49-UVG_Calculations!Z$56)), 0)</f>
        <v>0</v>
      </c>
      <c r="AA60" s="174">
        <f ca="1">IFERROR(SUMPRODUCT(UVG_Input_Data!AB42:$AZ42,OFFSET(Inputparam!$C$34:$AY$34,0,0,1,49-UVG_Calculations!AA$56)), 0)</f>
        <v>0</v>
      </c>
      <c r="AB60" s="174">
        <f ca="1">IFERROR(SUMPRODUCT(UVG_Input_Data!AC42:$AZ42,OFFSET(Inputparam!$C$34:$AY$34,0,0,1,49-UVG_Calculations!AB$56)), 0)</f>
        <v>0</v>
      </c>
      <c r="AC60" s="174">
        <f ca="1">IFERROR(SUMPRODUCT(UVG_Input_Data!AD42:$AZ42,OFFSET(Inputparam!$C$34:$AY$34,0,0,1,49-UVG_Calculations!AC$56)), 0)</f>
        <v>0</v>
      </c>
      <c r="AD60" s="174">
        <f ca="1">IFERROR(SUMPRODUCT(UVG_Input_Data!AE42:$AZ42,OFFSET(Inputparam!$C$34:$AY$34,0,0,1,49-UVG_Calculations!AD$56)), 0)</f>
        <v>0</v>
      </c>
      <c r="AE60" s="174">
        <f ca="1">IFERROR(SUMPRODUCT(UVG_Input_Data!AF42:$AZ42,OFFSET(Inputparam!$C$34:$AY$34,0,0,1,49-UVG_Calculations!AE$56)), 0)</f>
        <v>0</v>
      </c>
      <c r="AF60" s="174">
        <f ca="1">IFERROR(SUMPRODUCT(UVG_Input_Data!AG42:$AZ42,OFFSET(Inputparam!$C$34:$AY$34,0,0,1,49-UVG_Calculations!AF$56)), 0)</f>
        <v>0</v>
      </c>
      <c r="AG60" s="174">
        <f ca="1">IFERROR(SUMPRODUCT(UVG_Input_Data!AH42:$AZ42,OFFSET(Inputparam!$C$34:$AY$34,0,0,1,49-UVG_Calculations!AG$56)), 0)</f>
        <v>0</v>
      </c>
      <c r="AH60" s="174">
        <f ca="1">IFERROR(SUMPRODUCT(UVG_Input_Data!AI42:$AZ42,OFFSET(Inputparam!$C$34:$AY$34,0,0,1,49-UVG_Calculations!AH$56)), 0)</f>
        <v>0</v>
      </c>
      <c r="AI60" s="174">
        <f ca="1">IFERROR(SUMPRODUCT(UVG_Input_Data!AJ42:$AZ42,OFFSET(Inputparam!$C$34:$AY$34,0,0,1,49-UVG_Calculations!AI$56)), 0)</f>
        <v>0</v>
      </c>
      <c r="AJ60" s="174">
        <f ca="1">IFERROR(SUMPRODUCT(UVG_Input_Data!AK42:$AZ42,OFFSET(Inputparam!$C$34:$AY$34,0,0,1,49-UVG_Calculations!AJ$56)), 0)</f>
        <v>0</v>
      </c>
      <c r="AK60" s="174">
        <f ca="1">IFERROR(SUMPRODUCT(UVG_Input_Data!AL42:$AZ42,OFFSET(Inputparam!$C$34:$AY$34,0,0,1,49-UVG_Calculations!AK$56)), 0)</f>
        <v>0</v>
      </c>
      <c r="AL60" s="174">
        <f ca="1">IFERROR(SUMPRODUCT(UVG_Input_Data!AM42:$AZ42,OFFSET(Inputparam!$C$34:$AY$34,0,0,1,49-UVG_Calculations!AL$56)), 0)</f>
        <v>0</v>
      </c>
      <c r="AM60" s="174">
        <f ca="1">IFERROR(SUMPRODUCT(UVG_Input_Data!AN42:$AZ42,OFFSET(Inputparam!$C$34:$AY$34,0,0,1,49-UVG_Calculations!AM$56)), 0)</f>
        <v>0</v>
      </c>
      <c r="AN60" s="174">
        <f ca="1">IFERROR(SUMPRODUCT(UVG_Input_Data!AO42:$AZ42,OFFSET(Inputparam!$C$34:$AY$34,0,0,1,49-UVG_Calculations!AN$56)), 0)</f>
        <v>0</v>
      </c>
      <c r="AO60" s="174">
        <f ca="1">IFERROR(SUMPRODUCT(UVG_Input_Data!AP42:$AZ42,OFFSET(Inputparam!$C$34:$AY$34,0,0,1,49-UVG_Calculations!AO$56)), 0)</f>
        <v>0</v>
      </c>
      <c r="AP60" s="174">
        <f ca="1">IFERROR(SUMPRODUCT(UVG_Input_Data!AQ42:$AZ42,OFFSET(Inputparam!$C$34:$AY$34,0,0,1,49-UVG_Calculations!AP$56)), 0)</f>
        <v>0</v>
      </c>
      <c r="AQ60" s="174">
        <f ca="1">IFERROR(SUMPRODUCT(UVG_Input_Data!AR42:$AZ42,OFFSET(Inputparam!$C$34:$AY$34,0,0,1,49-UVG_Calculations!AQ$56)), 0)</f>
        <v>0</v>
      </c>
      <c r="AR60" s="174">
        <f ca="1">IFERROR(SUMPRODUCT(UVG_Input_Data!AS42:$AZ42,OFFSET(Inputparam!$C$34:$AY$34,0,0,1,49-UVG_Calculations!AR$56)), 0)</f>
        <v>0</v>
      </c>
      <c r="AS60" s="174">
        <f ca="1">IFERROR(SUMPRODUCT(UVG_Input_Data!AT42:$AZ42,OFFSET(Inputparam!$C$34:$AY$34,0,0,1,49-UVG_Calculations!AS$56)), 0)</f>
        <v>0</v>
      </c>
      <c r="AT60" s="174">
        <f ca="1">IFERROR(SUMPRODUCT(UVG_Input_Data!AU42:$AZ42,OFFSET(Inputparam!$C$34:$AY$34,0,0,1,49-UVG_Calculations!AT$56)), 0)</f>
        <v>0</v>
      </c>
      <c r="AU60" s="174">
        <f ca="1">IFERROR(SUMPRODUCT(UVG_Input_Data!AV42:$AZ42,OFFSET(Inputparam!$C$34:$AY$34,0,0,1,49-UVG_Calculations!AU$56)), 0)</f>
        <v>0</v>
      </c>
      <c r="AV60" s="174">
        <f ca="1">IFERROR(SUMPRODUCT(UVG_Input_Data!AW42:$AZ42,OFFSET(Inputparam!$C$34:$AY$34,0,0,1,49-UVG_Calculations!AV$56)), 0)</f>
        <v>0</v>
      </c>
      <c r="AW60" s="174">
        <f ca="1">IFERROR(SUMPRODUCT(UVG_Input_Data!AX42:$AZ42,OFFSET(Inputparam!$C$34:$AY$34,0,0,1,49-UVG_Calculations!AW$56)), 0)</f>
        <v>0</v>
      </c>
      <c r="AX60" s="174">
        <f ca="1">IFERROR(SUMPRODUCT(UVG_Input_Data!AY42:$AZ42,OFFSET(Inputparam!$C$34:$AY$34,0,0,1,49-UVG_Calculations!AX$56)), 0)</f>
        <v>0</v>
      </c>
      <c r="AY60" s="174">
        <f ca="1">IFERROR(SUMPRODUCT(UVG_Input_Data!AZ42:$AZ42,OFFSET(Inputparam!$C$34:$AY$34,0,0,1,49-UVG_Calculations!AY$56)), 0)</f>
        <v>0</v>
      </c>
      <c r="AZ60" s="174">
        <f ca="1">IFERROR(SUMPRODUCT(UVG_Input_Data!$AZ42:BA42,OFFSET(Inputparam!$C$34:$AY$34,0,0,1,49-UVG_Calculations!AZ$56)), 0)</f>
        <v>0</v>
      </c>
    </row>
    <row r="61" spans="2:53">
      <c r="B61" s="172" t="s">
        <v>561</v>
      </c>
      <c r="C61" s="171"/>
      <c r="D61" s="84"/>
      <c r="E61" s="84"/>
      <c r="F61" s="174">
        <f ca="1">IFERROR(SUMPRODUCT(UVG_Input_Data!G43:$AZ43,OFFSET(Inputparam!$C$34:$AY$34,0,0,1,49-UVG_Calculations!F$56)), 0)</f>
        <v>0</v>
      </c>
      <c r="G61" s="174">
        <f ca="1">IFERROR(SUMPRODUCT(UVG_Input_Data!H43:$AZ43,OFFSET(Inputparam!$C$34:$AY$34,0,0,1,49-UVG_Calculations!G$56)), 0)</f>
        <v>0</v>
      </c>
      <c r="H61" s="174">
        <f ca="1">IFERROR(SUMPRODUCT(UVG_Input_Data!I43:$AZ43,OFFSET(Inputparam!$C$34:$AY$34,0,0,1,49-UVG_Calculations!H$56)), 0)</f>
        <v>0</v>
      </c>
      <c r="I61" s="174">
        <f ca="1">IFERROR(SUMPRODUCT(UVG_Input_Data!J43:$AZ43,OFFSET(Inputparam!$C$34:$AY$34,0,0,1,49-UVG_Calculations!I$56)), 0)</f>
        <v>0</v>
      </c>
      <c r="J61" s="174">
        <f ca="1">IFERROR(SUMPRODUCT(UVG_Input_Data!K43:$AZ43,OFFSET(Inputparam!$C$34:$AY$34,0,0,1,49-UVG_Calculations!J$56)), 0)</f>
        <v>0</v>
      </c>
      <c r="K61" s="174">
        <f ca="1">IFERROR(SUMPRODUCT(UVG_Input_Data!L43:$AZ43,OFFSET(Inputparam!$C$34:$AY$34,0,0,1,49-UVG_Calculations!K$56)), 0)</f>
        <v>0</v>
      </c>
      <c r="L61" s="174">
        <f ca="1">IFERROR(SUMPRODUCT(UVG_Input_Data!M43:$AZ43,OFFSET(Inputparam!$C$34:$AY$34,0,0,1,49-UVG_Calculations!L$56)), 0)</f>
        <v>0</v>
      </c>
      <c r="M61" s="174">
        <f ca="1">IFERROR(SUMPRODUCT(UVG_Input_Data!N43:$AZ43,OFFSET(Inputparam!$C$34:$AY$34,0,0,1,49-UVG_Calculations!M$56)), 0)</f>
        <v>0</v>
      </c>
      <c r="N61" s="174">
        <f ca="1">IFERROR(SUMPRODUCT(UVG_Input_Data!O43:$AZ43,OFFSET(Inputparam!$C$34:$AY$34,0,0,1,49-UVG_Calculations!N$56)), 0)</f>
        <v>0</v>
      </c>
      <c r="O61" s="174">
        <f ca="1">IFERROR(SUMPRODUCT(UVG_Input_Data!P43:$AZ43,OFFSET(Inputparam!$C$34:$AY$34,0,0,1,49-UVG_Calculations!O$56)), 0)</f>
        <v>0</v>
      </c>
      <c r="P61" s="174">
        <f ca="1">IFERROR(SUMPRODUCT(UVG_Input_Data!Q43:$AZ43,OFFSET(Inputparam!$C$34:$AY$34,0,0,1,49-UVG_Calculations!P$56)), 0)</f>
        <v>0</v>
      </c>
      <c r="Q61" s="174">
        <f ca="1">IFERROR(SUMPRODUCT(UVG_Input_Data!R43:$AZ43,OFFSET(Inputparam!$C$34:$AY$34,0,0,1,49-UVG_Calculations!Q$56)), 0)</f>
        <v>0</v>
      </c>
      <c r="R61" s="174">
        <f ca="1">IFERROR(SUMPRODUCT(UVG_Input_Data!S43:$AZ43,OFFSET(Inputparam!$C$34:$AY$34,0,0,1,49-UVG_Calculations!R$56)), 0)</f>
        <v>0</v>
      </c>
      <c r="S61" s="174">
        <f ca="1">IFERROR(SUMPRODUCT(UVG_Input_Data!T43:$AZ43,OFFSET(Inputparam!$C$34:$AY$34,0,0,1,49-UVG_Calculations!S$56)), 0)</f>
        <v>0</v>
      </c>
      <c r="T61" s="174">
        <f ca="1">IFERROR(SUMPRODUCT(UVG_Input_Data!U43:$AZ43,OFFSET(Inputparam!$C$34:$AY$34,0,0,1,49-UVG_Calculations!T$56)), 0)</f>
        <v>0</v>
      </c>
      <c r="U61" s="174">
        <f ca="1">IFERROR(SUMPRODUCT(UVG_Input_Data!V43:$AZ43,OFFSET(Inputparam!$C$34:$AY$34,0,0,1,49-UVG_Calculations!U$56)), 0)</f>
        <v>0</v>
      </c>
      <c r="V61" s="174">
        <f ca="1">IFERROR(SUMPRODUCT(UVG_Input_Data!W43:$AZ43,OFFSET(Inputparam!$C$34:$AY$34,0,0,1,49-UVG_Calculations!V$56)), 0)</f>
        <v>0</v>
      </c>
      <c r="W61" s="174">
        <f ca="1">IFERROR(SUMPRODUCT(UVG_Input_Data!X43:$AZ43,OFFSET(Inputparam!$C$34:$AY$34,0,0,1,49-UVG_Calculations!W$56)), 0)</f>
        <v>0</v>
      </c>
      <c r="X61" s="174">
        <f ca="1">IFERROR(SUMPRODUCT(UVG_Input_Data!Y43:$AZ43,OFFSET(Inputparam!$C$34:$AY$34,0,0,1,49-UVG_Calculations!X$56)), 0)</f>
        <v>0</v>
      </c>
      <c r="Y61" s="174">
        <f ca="1">IFERROR(SUMPRODUCT(UVG_Input_Data!Z43:$AZ43,OFFSET(Inputparam!$C$34:$AY$34,0,0,1,49-UVG_Calculations!Y$56)), 0)</f>
        <v>0</v>
      </c>
      <c r="Z61" s="174">
        <f ca="1">IFERROR(SUMPRODUCT(UVG_Input_Data!AA43:$AZ43,OFFSET(Inputparam!$C$34:$AY$34,0,0,1,49-UVG_Calculations!Z$56)), 0)</f>
        <v>0</v>
      </c>
      <c r="AA61" s="174">
        <f ca="1">IFERROR(SUMPRODUCT(UVG_Input_Data!AB43:$AZ43,OFFSET(Inputparam!$C$34:$AY$34,0,0,1,49-UVG_Calculations!AA$56)), 0)</f>
        <v>0</v>
      </c>
      <c r="AB61" s="174">
        <f ca="1">IFERROR(SUMPRODUCT(UVG_Input_Data!AC43:$AZ43,OFFSET(Inputparam!$C$34:$AY$34,0,0,1,49-UVG_Calculations!AB$56)), 0)</f>
        <v>0</v>
      </c>
      <c r="AC61" s="174">
        <f ca="1">IFERROR(SUMPRODUCT(UVG_Input_Data!AD43:$AZ43,OFFSET(Inputparam!$C$34:$AY$34,0,0,1,49-UVG_Calculations!AC$56)), 0)</f>
        <v>0</v>
      </c>
      <c r="AD61" s="174">
        <f ca="1">IFERROR(SUMPRODUCT(UVG_Input_Data!AE43:$AZ43,OFFSET(Inputparam!$C$34:$AY$34,0,0,1,49-UVG_Calculations!AD$56)), 0)</f>
        <v>0</v>
      </c>
      <c r="AE61" s="174">
        <f ca="1">IFERROR(SUMPRODUCT(UVG_Input_Data!AF43:$AZ43,OFFSET(Inputparam!$C$34:$AY$34,0,0,1,49-UVG_Calculations!AE$56)), 0)</f>
        <v>0</v>
      </c>
      <c r="AF61" s="174">
        <f ca="1">IFERROR(SUMPRODUCT(UVG_Input_Data!AG43:$AZ43,OFFSET(Inputparam!$C$34:$AY$34,0,0,1,49-UVG_Calculations!AF$56)), 0)</f>
        <v>0</v>
      </c>
      <c r="AG61" s="174">
        <f ca="1">IFERROR(SUMPRODUCT(UVG_Input_Data!AH43:$AZ43,OFFSET(Inputparam!$C$34:$AY$34,0,0,1,49-UVG_Calculations!AG$56)), 0)</f>
        <v>0</v>
      </c>
      <c r="AH61" s="174">
        <f ca="1">IFERROR(SUMPRODUCT(UVG_Input_Data!AI43:$AZ43,OFFSET(Inputparam!$C$34:$AY$34,0,0,1,49-UVG_Calculations!AH$56)), 0)</f>
        <v>0</v>
      </c>
      <c r="AI61" s="174">
        <f ca="1">IFERROR(SUMPRODUCT(UVG_Input_Data!AJ43:$AZ43,OFFSET(Inputparam!$C$34:$AY$34,0,0,1,49-UVG_Calculations!AI$56)), 0)</f>
        <v>0</v>
      </c>
      <c r="AJ61" s="174">
        <f ca="1">IFERROR(SUMPRODUCT(UVG_Input_Data!AK43:$AZ43,OFFSET(Inputparam!$C$34:$AY$34,0,0,1,49-UVG_Calculations!AJ$56)), 0)</f>
        <v>0</v>
      </c>
      <c r="AK61" s="174">
        <f ca="1">IFERROR(SUMPRODUCT(UVG_Input_Data!AL43:$AZ43,OFFSET(Inputparam!$C$34:$AY$34,0,0,1,49-UVG_Calculations!AK$56)), 0)</f>
        <v>0</v>
      </c>
      <c r="AL61" s="174">
        <f ca="1">IFERROR(SUMPRODUCT(UVG_Input_Data!AM43:$AZ43,OFFSET(Inputparam!$C$34:$AY$34,0,0,1,49-UVG_Calculations!AL$56)), 0)</f>
        <v>0</v>
      </c>
      <c r="AM61" s="174">
        <f ca="1">IFERROR(SUMPRODUCT(UVG_Input_Data!AN43:$AZ43,OFFSET(Inputparam!$C$34:$AY$34,0,0,1,49-UVG_Calculations!AM$56)), 0)</f>
        <v>0</v>
      </c>
      <c r="AN61" s="174">
        <f ca="1">IFERROR(SUMPRODUCT(UVG_Input_Data!AO43:$AZ43,OFFSET(Inputparam!$C$34:$AY$34,0,0,1,49-UVG_Calculations!AN$56)), 0)</f>
        <v>0</v>
      </c>
      <c r="AO61" s="174">
        <f ca="1">IFERROR(SUMPRODUCT(UVG_Input_Data!AP43:$AZ43,OFFSET(Inputparam!$C$34:$AY$34,0,0,1,49-UVG_Calculations!AO$56)), 0)</f>
        <v>0</v>
      </c>
      <c r="AP61" s="174">
        <f ca="1">IFERROR(SUMPRODUCT(UVG_Input_Data!AQ43:$AZ43,OFFSET(Inputparam!$C$34:$AY$34,0,0,1,49-UVG_Calculations!AP$56)), 0)</f>
        <v>0</v>
      </c>
      <c r="AQ61" s="174">
        <f ca="1">IFERROR(SUMPRODUCT(UVG_Input_Data!AR43:$AZ43,OFFSET(Inputparam!$C$34:$AY$34,0,0,1,49-UVG_Calculations!AQ$56)), 0)</f>
        <v>0</v>
      </c>
      <c r="AR61" s="174">
        <f ca="1">IFERROR(SUMPRODUCT(UVG_Input_Data!AS43:$AZ43,OFFSET(Inputparam!$C$34:$AY$34,0,0,1,49-UVG_Calculations!AR$56)), 0)</f>
        <v>0</v>
      </c>
      <c r="AS61" s="174">
        <f ca="1">IFERROR(SUMPRODUCT(UVG_Input_Data!AT43:$AZ43,OFFSET(Inputparam!$C$34:$AY$34,0,0,1,49-UVG_Calculations!AS$56)), 0)</f>
        <v>0</v>
      </c>
      <c r="AT61" s="174">
        <f ca="1">IFERROR(SUMPRODUCT(UVG_Input_Data!AU43:$AZ43,OFFSET(Inputparam!$C$34:$AY$34,0,0,1,49-UVG_Calculations!AT$56)), 0)</f>
        <v>0</v>
      </c>
      <c r="AU61" s="174">
        <f ca="1">IFERROR(SUMPRODUCT(UVG_Input_Data!AV43:$AZ43,OFFSET(Inputparam!$C$34:$AY$34,0,0,1,49-UVG_Calculations!AU$56)), 0)</f>
        <v>0</v>
      </c>
      <c r="AV61" s="174">
        <f ca="1">IFERROR(SUMPRODUCT(UVG_Input_Data!AW43:$AZ43,OFFSET(Inputparam!$C$34:$AY$34,0,0,1,49-UVG_Calculations!AV$56)), 0)</f>
        <v>0</v>
      </c>
      <c r="AW61" s="174">
        <f ca="1">IFERROR(SUMPRODUCT(UVG_Input_Data!AX43:$AZ43,OFFSET(Inputparam!$C$34:$AY$34,0,0,1,49-UVG_Calculations!AW$56)), 0)</f>
        <v>0</v>
      </c>
      <c r="AX61" s="174">
        <f ca="1">IFERROR(SUMPRODUCT(UVG_Input_Data!AY43:$AZ43,OFFSET(Inputparam!$C$34:$AY$34,0,0,1,49-UVG_Calculations!AX$56)), 0)</f>
        <v>0</v>
      </c>
      <c r="AY61" s="174">
        <f ca="1">IFERROR(SUMPRODUCT(UVG_Input_Data!AZ43:$AZ43,OFFSET(Inputparam!$C$34:$AY$34,0,0,1,49-UVG_Calculations!AY$56)), 0)</f>
        <v>0</v>
      </c>
      <c r="AZ61" s="174">
        <f ca="1">IFERROR(SUMPRODUCT(UVG_Input_Data!$AZ43:BA43,OFFSET(Inputparam!$C$34:$AY$34,0,0,1,49-UVG_Calculations!AZ$56)), 0)</f>
        <v>0</v>
      </c>
    </row>
    <row r="62" spans="2:53">
      <c r="B62" s="172" t="s">
        <v>562</v>
      </c>
      <c r="C62" s="171"/>
      <c r="D62" s="84"/>
      <c r="E62" s="84"/>
      <c r="F62" s="84"/>
      <c r="G62" s="174">
        <f ca="1">IFERROR(SUMPRODUCT(UVG_Input_Data!H44:$AZ44,OFFSET(Inputparam!$C$34:$AZ$34,0,0,1,49-UVG_Calculations!G$56)), 0)</f>
        <v>0</v>
      </c>
      <c r="H62" s="174">
        <f ca="1">IFERROR(SUMPRODUCT(UVG_Input_Data!I44:$AZ44,OFFSET(Inputparam!$C$34:$AZ$34,0,0,1,49-UVG_Calculations!H$56)), 0)</f>
        <v>0</v>
      </c>
      <c r="I62" s="174">
        <f ca="1">IFERROR(SUMPRODUCT(UVG_Input_Data!J44:$AZ44,OFFSET(Inputparam!$C$34:$AZ$34,0,0,1,49-UVG_Calculations!I$56)), 0)</f>
        <v>0</v>
      </c>
      <c r="J62" s="174">
        <f ca="1">IFERROR(SUMPRODUCT(UVG_Input_Data!K44:$AZ44,OFFSET(Inputparam!$C$34:$AZ$34,0,0,1,49-UVG_Calculations!J$56)), 0)</f>
        <v>0</v>
      </c>
      <c r="K62" s="174">
        <f ca="1">IFERROR(SUMPRODUCT(UVG_Input_Data!L44:$AZ44,OFFSET(Inputparam!$C$34:$AZ$34,0,0,1,49-UVG_Calculations!K$56)), 0)</f>
        <v>0</v>
      </c>
      <c r="L62" s="174">
        <f ca="1">IFERROR(SUMPRODUCT(UVG_Input_Data!M44:$AZ44,OFFSET(Inputparam!$C$34:$AZ$34,0,0,1,49-UVG_Calculations!L$56)), 0)</f>
        <v>0</v>
      </c>
      <c r="M62" s="174">
        <f ca="1">IFERROR(SUMPRODUCT(UVG_Input_Data!N44:$AZ44,OFFSET(Inputparam!$C$34:$AZ$34,0,0,1,49-UVG_Calculations!M$56)), 0)</f>
        <v>0</v>
      </c>
      <c r="N62" s="174">
        <f ca="1">IFERROR(SUMPRODUCT(UVG_Input_Data!O44:$AZ44,OFFSET(Inputparam!$C$34:$AZ$34,0,0,1,49-UVG_Calculations!N$56)), 0)</f>
        <v>0</v>
      </c>
      <c r="O62" s="174">
        <f ca="1">IFERROR(SUMPRODUCT(UVG_Input_Data!P44:$AZ44,OFFSET(Inputparam!$C$34:$AZ$34,0,0,1,49-UVG_Calculations!O$56)), 0)</f>
        <v>0</v>
      </c>
      <c r="P62" s="174">
        <f ca="1">IFERROR(SUMPRODUCT(UVG_Input_Data!Q44:$AZ44,OFFSET(Inputparam!$C$34:$AZ$34,0,0,1,49-UVG_Calculations!P$56)), 0)</f>
        <v>0</v>
      </c>
      <c r="Q62" s="174">
        <f ca="1">IFERROR(SUMPRODUCT(UVG_Input_Data!R44:$AZ44,OFFSET(Inputparam!$C$34:$AZ$34,0,0,1,49-UVG_Calculations!Q$56)), 0)</f>
        <v>0</v>
      </c>
      <c r="R62" s="174">
        <f ca="1">IFERROR(SUMPRODUCT(UVG_Input_Data!S44:$AZ44,OFFSET(Inputparam!$C$34:$AZ$34,0,0,1,49-UVG_Calculations!R$56)), 0)</f>
        <v>0</v>
      </c>
      <c r="S62" s="174">
        <f ca="1">IFERROR(SUMPRODUCT(UVG_Input_Data!T44:$AZ44,OFFSET(Inputparam!$C$34:$AZ$34,0,0,1,49-UVG_Calculations!S$56)), 0)</f>
        <v>0</v>
      </c>
      <c r="T62" s="174">
        <f ca="1">IFERROR(SUMPRODUCT(UVG_Input_Data!U44:$AZ44,OFFSET(Inputparam!$C$34:$AZ$34,0,0,1,49-UVG_Calculations!T$56)), 0)</f>
        <v>0</v>
      </c>
      <c r="U62" s="174">
        <f ca="1">IFERROR(SUMPRODUCT(UVG_Input_Data!V44:$AZ44,OFFSET(Inputparam!$C$34:$AZ$34,0,0,1,49-UVG_Calculations!U$56)), 0)</f>
        <v>0</v>
      </c>
      <c r="V62" s="174">
        <f ca="1">IFERROR(SUMPRODUCT(UVG_Input_Data!W44:$AZ44,OFFSET(Inputparam!$C$34:$AZ$34,0,0,1,49-UVG_Calculations!V$56)), 0)</f>
        <v>0</v>
      </c>
      <c r="W62" s="174">
        <f ca="1">IFERROR(SUMPRODUCT(UVG_Input_Data!X44:$AZ44,OFFSET(Inputparam!$C$34:$AZ$34,0,0,1,49-UVG_Calculations!W$56)), 0)</f>
        <v>0</v>
      </c>
      <c r="X62" s="174">
        <f ca="1">IFERROR(SUMPRODUCT(UVG_Input_Data!Y44:$AZ44,OFFSET(Inputparam!$C$34:$AZ$34,0,0,1,49-UVG_Calculations!X$56)), 0)</f>
        <v>0</v>
      </c>
      <c r="Y62" s="174">
        <f ca="1">IFERROR(SUMPRODUCT(UVG_Input_Data!Z44:$AZ44,OFFSET(Inputparam!$C$34:$AZ$34,0,0,1,49-UVG_Calculations!Y$56)), 0)</f>
        <v>0</v>
      </c>
      <c r="Z62" s="174">
        <f ca="1">IFERROR(SUMPRODUCT(UVG_Input_Data!AA44:$AZ44,OFFSET(Inputparam!$C$34:$AZ$34,0,0,1,49-UVG_Calculations!Z$56)), 0)</f>
        <v>0</v>
      </c>
      <c r="AA62" s="174">
        <f ca="1">IFERROR(SUMPRODUCT(UVG_Input_Data!AB44:$AZ44,OFFSET(Inputparam!$C$34:$AZ$34,0,0,1,49-UVG_Calculations!AA$56)), 0)</f>
        <v>0</v>
      </c>
      <c r="AB62" s="174">
        <f ca="1">IFERROR(SUMPRODUCT(UVG_Input_Data!AC44:$AZ44,OFFSET(Inputparam!$C$34:$AZ$34,0,0,1,49-UVG_Calculations!AB$56)), 0)</f>
        <v>0</v>
      </c>
      <c r="AC62" s="174">
        <f ca="1">IFERROR(SUMPRODUCT(UVG_Input_Data!AD44:$AZ44,OFFSET(Inputparam!$C$34:$AZ$34,0,0,1,49-UVG_Calculations!AC$56)), 0)</f>
        <v>0</v>
      </c>
      <c r="AD62" s="174">
        <f ca="1">IFERROR(SUMPRODUCT(UVG_Input_Data!AE44:$AZ44,OFFSET(Inputparam!$C$34:$AZ$34,0,0,1,49-UVG_Calculations!AD$56)), 0)</f>
        <v>0</v>
      </c>
      <c r="AE62" s="174">
        <f ca="1">IFERROR(SUMPRODUCT(UVG_Input_Data!AF44:$AZ44,OFFSET(Inputparam!$C$34:$AZ$34,0,0,1,49-UVG_Calculations!AE$56)), 0)</f>
        <v>0</v>
      </c>
      <c r="AF62" s="174">
        <f ca="1">IFERROR(SUMPRODUCT(UVG_Input_Data!AG44:$AZ44,OFFSET(Inputparam!$C$34:$AZ$34,0,0,1,49-UVG_Calculations!AF$56)), 0)</f>
        <v>0</v>
      </c>
      <c r="AG62" s="174">
        <f ca="1">IFERROR(SUMPRODUCT(UVG_Input_Data!AH44:$AZ44,OFFSET(Inputparam!$C$34:$AZ$34,0,0,1,49-UVG_Calculations!AG$56)), 0)</f>
        <v>0</v>
      </c>
      <c r="AH62" s="174">
        <f ca="1">IFERROR(SUMPRODUCT(UVG_Input_Data!AI44:$AZ44,OFFSET(Inputparam!$C$34:$AZ$34,0,0,1,49-UVG_Calculations!AH$56)), 0)</f>
        <v>0</v>
      </c>
      <c r="AI62" s="174">
        <f ca="1">IFERROR(SUMPRODUCT(UVG_Input_Data!AJ44:$AZ44,OFFSET(Inputparam!$C$34:$AZ$34,0,0,1,49-UVG_Calculations!AI$56)), 0)</f>
        <v>0</v>
      </c>
      <c r="AJ62" s="174">
        <f ca="1">IFERROR(SUMPRODUCT(UVG_Input_Data!AK44:$AZ44,OFFSET(Inputparam!$C$34:$AZ$34,0,0,1,49-UVG_Calculations!AJ$56)), 0)</f>
        <v>0</v>
      </c>
      <c r="AK62" s="174">
        <f ca="1">IFERROR(SUMPRODUCT(UVG_Input_Data!AL44:$AZ44,OFFSET(Inputparam!$C$34:$AZ$34,0,0,1,49-UVG_Calculations!AK$56)), 0)</f>
        <v>0</v>
      </c>
      <c r="AL62" s="174">
        <f ca="1">IFERROR(SUMPRODUCT(UVG_Input_Data!AM44:$AZ44,OFFSET(Inputparam!$C$34:$AZ$34,0,0,1,49-UVG_Calculations!AL$56)), 0)</f>
        <v>0</v>
      </c>
      <c r="AM62" s="174">
        <f ca="1">IFERROR(SUMPRODUCT(UVG_Input_Data!AN44:$AZ44,OFFSET(Inputparam!$C$34:$AZ$34,0,0,1,49-UVG_Calculations!AM$56)), 0)</f>
        <v>0</v>
      </c>
      <c r="AN62" s="174">
        <f ca="1">IFERROR(SUMPRODUCT(UVG_Input_Data!AO44:$AZ44,OFFSET(Inputparam!$C$34:$AZ$34,0,0,1,49-UVG_Calculations!AN$56)), 0)</f>
        <v>0</v>
      </c>
      <c r="AO62" s="174">
        <f ca="1">IFERROR(SUMPRODUCT(UVG_Input_Data!AP44:$AZ44,OFFSET(Inputparam!$C$34:$AZ$34,0,0,1,49-UVG_Calculations!AO$56)), 0)</f>
        <v>0</v>
      </c>
      <c r="AP62" s="174">
        <f ca="1">IFERROR(SUMPRODUCT(UVG_Input_Data!AQ44:$AZ44,OFFSET(Inputparam!$C$34:$AZ$34,0,0,1,49-UVG_Calculations!AP$56)), 0)</f>
        <v>0</v>
      </c>
      <c r="AQ62" s="174">
        <f ca="1">IFERROR(SUMPRODUCT(UVG_Input_Data!AR44:$AZ44,OFFSET(Inputparam!$C$34:$AZ$34,0,0,1,49-UVG_Calculations!AQ$56)), 0)</f>
        <v>0</v>
      </c>
      <c r="AR62" s="174">
        <f ca="1">IFERROR(SUMPRODUCT(UVG_Input_Data!AS44:$AZ44,OFFSET(Inputparam!$C$34:$AZ$34,0,0,1,49-UVG_Calculations!AR$56)), 0)</f>
        <v>0</v>
      </c>
      <c r="AS62" s="174">
        <f ca="1">IFERROR(SUMPRODUCT(UVG_Input_Data!AT44:$AZ44,OFFSET(Inputparam!$C$34:$AZ$34,0,0,1,49-UVG_Calculations!AS$56)), 0)</f>
        <v>0</v>
      </c>
      <c r="AT62" s="174">
        <f ca="1">IFERROR(SUMPRODUCT(UVG_Input_Data!AU44:$AZ44,OFFSET(Inputparam!$C$34:$AZ$34,0,0,1,49-UVG_Calculations!AT$56)), 0)</f>
        <v>0</v>
      </c>
      <c r="AU62" s="174">
        <f ca="1">IFERROR(SUMPRODUCT(UVG_Input_Data!AV44:$AZ44,OFFSET(Inputparam!$C$34:$AZ$34,0,0,1,49-UVG_Calculations!AU$56)), 0)</f>
        <v>0</v>
      </c>
      <c r="AV62" s="174">
        <f ca="1">IFERROR(SUMPRODUCT(UVG_Input_Data!AW44:$AZ44,OFFSET(Inputparam!$C$34:$AZ$34,0,0,1,49-UVG_Calculations!AV$56)), 0)</f>
        <v>0</v>
      </c>
      <c r="AW62" s="174">
        <f ca="1">IFERROR(SUMPRODUCT(UVG_Input_Data!AX44:$AZ44,OFFSET(Inputparam!$C$34:$AZ$34,0,0,1,49-UVG_Calculations!AW$56)), 0)</f>
        <v>0</v>
      </c>
      <c r="AX62" s="174">
        <f ca="1">IFERROR(SUMPRODUCT(UVG_Input_Data!AY44:$AZ44,OFFSET(Inputparam!$C$34:$AZ$34,0,0,1,49-UVG_Calculations!AX$56)), 0)</f>
        <v>0</v>
      </c>
      <c r="AY62" s="174">
        <f ca="1">IFERROR(SUMPRODUCT(UVG_Input_Data!AZ44:$AZ44,OFFSET(Inputparam!$C$34:$AZ$34,0,0,1,49-UVG_Calculations!AY$56)), 0)</f>
        <v>0</v>
      </c>
      <c r="AZ62" s="174">
        <f ca="1">IFERROR(SUMPRODUCT(UVG_Input_Data!$AZ44:BA44,OFFSET(Inputparam!$C$34:$AZ$34,0,0,1,49-UVG_Calculations!AZ$56)), 0)</f>
        <v>0</v>
      </c>
    </row>
    <row r="63" spans="2:53">
      <c r="B63" s="172" t="s">
        <v>563</v>
      </c>
      <c r="C63" s="171"/>
      <c r="D63" s="84"/>
      <c r="E63" s="84"/>
      <c r="F63" s="84"/>
      <c r="G63" s="84"/>
      <c r="H63" s="174">
        <f ca="1">IFERROR(SUMPRODUCT(UVG_Input_Data!I45:$AZ45,OFFSET(Inputparam!$C$34:$AZ$34,0,0,1,49-UVG_Calculations!H$56)), 0)</f>
        <v>0</v>
      </c>
      <c r="I63" s="174">
        <f ca="1">IFERROR(SUMPRODUCT(UVG_Input_Data!J45:$AZ45,OFFSET(Inputparam!$C$34:$AZ$34,0,0,1,49-UVG_Calculations!I$56)), 0)</f>
        <v>0</v>
      </c>
      <c r="J63" s="174">
        <f ca="1">IFERROR(SUMPRODUCT(UVG_Input_Data!K45:$AZ45,OFFSET(Inputparam!$C$34:$AZ$34,0,0,1,49-UVG_Calculations!J$56)), 0)</f>
        <v>0</v>
      </c>
      <c r="K63" s="174">
        <f ca="1">IFERROR(SUMPRODUCT(UVG_Input_Data!L45:$AZ45,OFFSET(Inputparam!$C$34:$AZ$34,0,0,1,49-UVG_Calculations!K$56)), 0)</f>
        <v>0</v>
      </c>
      <c r="L63" s="174">
        <f ca="1">IFERROR(SUMPRODUCT(UVG_Input_Data!M45:$AZ45,OFFSET(Inputparam!$C$34:$AZ$34,0,0,1,49-UVG_Calculations!L$56)), 0)</f>
        <v>0</v>
      </c>
      <c r="M63" s="174">
        <f ca="1">IFERROR(SUMPRODUCT(UVG_Input_Data!N45:$AZ45,OFFSET(Inputparam!$C$34:$AZ$34,0,0,1,49-UVG_Calculations!M$56)), 0)</f>
        <v>0</v>
      </c>
      <c r="N63" s="174">
        <f ca="1">IFERROR(SUMPRODUCT(UVG_Input_Data!O45:$AZ45,OFFSET(Inputparam!$C$34:$AZ$34,0,0,1,49-UVG_Calculations!N$56)), 0)</f>
        <v>0</v>
      </c>
      <c r="O63" s="174">
        <f ca="1">IFERROR(SUMPRODUCT(UVG_Input_Data!P45:$AZ45,OFFSET(Inputparam!$C$34:$AZ$34,0,0,1,49-UVG_Calculations!O$56)), 0)</f>
        <v>0</v>
      </c>
      <c r="P63" s="174">
        <f ca="1">IFERROR(SUMPRODUCT(UVG_Input_Data!Q45:$AZ45,OFFSET(Inputparam!$C$34:$AZ$34,0,0,1,49-UVG_Calculations!P$56)), 0)</f>
        <v>0</v>
      </c>
      <c r="Q63" s="174">
        <f ca="1">IFERROR(SUMPRODUCT(UVG_Input_Data!R45:$AZ45,OFFSET(Inputparam!$C$34:$AZ$34,0,0,1,49-UVG_Calculations!Q$56)), 0)</f>
        <v>0</v>
      </c>
      <c r="R63" s="174">
        <f ca="1">IFERROR(SUMPRODUCT(UVG_Input_Data!S45:$AZ45,OFFSET(Inputparam!$C$34:$AZ$34,0,0,1,49-UVG_Calculations!R$56)), 0)</f>
        <v>0</v>
      </c>
      <c r="S63" s="174">
        <f ca="1">IFERROR(SUMPRODUCT(UVG_Input_Data!T45:$AZ45,OFFSET(Inputparam!$C$34:$AZ$34,0,0,1,49-UVG_Calculations!S$56)), 0)</f>
        <v>0</v>
      </c>
      <c r="T63" s="174">
        <f ca="1">IFERROR(SUMPRODUCT(UVG_Input_Data!U45:$AZ45,OFFSET(Inputparam!$C$34:$AZ$34,0,0,1,49-UVG_Calculations!T$56)), 0)</f>
        <v>0</v>
      </c>
      <c r="U63" s="174">
        <f ca="1">IFERROR(SUMPRODUCT(UVG_Input_Data!V45:$AZ45,OFFSET(Inputparam!$C$34:$AZ$34,0,0,1,49-UVG_Calculations!U$56)), 0)</f>
        <v>0</v>
      </c>
      <c r="V63" s="174">
        <f ca="1">IFERROR(SUMPRODUCT(UVG_Input_Data!W45:$AZ45,OFFSET(Inputparam!$C$34:$AZ$34,0,0,1,49-UVG_Calculations!V$56)), 0)</f>
        <v>0</v>
      </c>
      <c r="W63" s="174">
        <f ca="1">IFERROR(SUMPRODUCT(UVG_Input_Data!X45:$AZ45,OFFSET(Inputparam!$C$34:$AZ$34,0,0,1,49-UVG_Calculations!W$56)), 0)</f>
        <v>0</v>
      </c>
      <c r="X63" s="174">
        <f ca="1">IFERROR(SUMPRODUCT(UVG_Input_Data!Y45:$AZ45,OFFSET(Inputparam!$C$34:$AZ$34,0,0,1,49-UVG_Calculations!X$56)), 0)</f>
        <v>0</v>
      </c>
      <c r="Y63" s="174">
        <f ca="1">IFERROR(SUMPRODUCT(UVG_Input_Data!Z45:$AZ45,OFFSET(Inputparam!$C$34:$AZ$34,0,0,1,49-UVG_Calculations!Y$56)), 0)</f>
        <v>0</v>
      </c>
      <c r="Z63" s="174">
        <f ca="1">IFERROR(SUMPRODUCT(UVG_Input_Data!AA45:$AZ45,OFFSET(Inputparam!$C$34:$AZ$34,0,0,1,49-UVG_Calculations!Z$56)), 0)</f>
        <v>0</v>
      </c>
      <c r="AA63" s="174">
        <f ca="1">IFERROR(SUMPRODUCT(UVG_Input_Data!AB45:$AZ45,OFFSET(Inputparam!$C$34:$AZ$34,0,0,1,49-UVG_Calculations!AA$56)), 0)</f>
        <v>0</v>
      </c>
      <c r="AB63" s="174">
        <f ca="1">IFERROR(SUMPRODUCT(UVG_Input_Data!AC45:$AZ45,OFFSET(Inputparam!$C$34:$AZ$34,0,0,1,49-UVG_Calculations!AB$56)), 0)</f>
        <v>0</v>
      </c>
      <c r="AC63" s="174">
        <f ca="1">IFERROR(SUMPRODUCT(UVG_Input_Data!AD45:$AZ45,OFFSET(Inputparam!$C$34:$AZ$34,0,0,1,49-UVG_Calculations!AC$56)), 0)</f>
        <v>0</v>
      </c>
      <c r="AD63" s="174">
        <f ca="1">IFERROR(SUMPRODUCT(UVG_Input_Data!AE45:$AZ45,OFFSET(Inputparam!$C$34:$AZ$34,0,0,1,49-UVG_Calculations!AD$56)), 0)</f>
        <v>0</v>
      </c>
      <c r="AE63" s="174">
        <f ca="1">IFERROR(SUMPRODUCT(UVG_Input_Data!AF45:$AZ45,OFFSET(Inputparam!$C$34:$AZ$34,0,0,1,49-UVG_Calculations!AE$56)), 0)</f>
        <v>0</v>
      </c>
      <c r="AF63" s="174">
        <f ca="1">IFERROR(SUMPRODUCT(UVG_Input_Data!AG45:$AZ45,OFFSET(Inputparam!$C$34:$AZ$34,0,0,1,49-UVG_Calculations!AF$56)), 0)</f>
        <v>0</v>
      </c>
      <c r="AG63" s="174">
        <f ca="1">IFERROR(SUMPRODUCT(UVG_Input_Data!AH45:$AZ45,OFFSET(Inputparam!$C$34:$AZ$34,0,0,1,49-UVG_Calculations!AG$56)), 0)</f>
        <v>0</v>
      </c>
      <c r="AH63" s="174">
        <f ca="1">IFERROR(SUMPRODUCT(UVG_Input_Data!AI45:$AZ45,OFFSET(Inputparam!$C$34:$AZ$34,0,0,1,49-UVG_Calculations!AH$56)), 0)</f>
        <v>0</v>
      </c>
      <c r="AI63" s="174">
        <f ca="1">IFERROR(SUMPRODUCT(UVG_Input_Data!AJ45:$AZ45,OFFSET(Inputparam!$C$34:$AZ$34,0,0,1,49-UVG_Calculations!AI$56)), 0)</f>
        <v>0</v>
      </c>
      <c r="AJ63" s="174">
        <f ca="1">IFERROR(SUMPRODUCT(UVG_Input_Data!AK45:$AZ45,OFFSET(Inputparam!$C$34:$AZ$34,0,0,1,49-UVG_Calculations!AJ$56)), 0)</f>
        <v>0</v>
      </c>
      <c r="AK63" s="174">
        <f ca="1">IFERROR(SUMPRODUCT(UVG_Input_Data!AL45:$AZ45,OFFSET(Inputparam!$C$34:$AZ$34,0,0,1,49-UVG_Calculations!AK$56)), 0)</f>
        <v>0</v>
      </c>
      <c r="AL63" s="174">
        <f ca="1">IFERROR(SUMPRODUCT(UVG_Input_Data!AM45:$AZ45,OFFSET(Inputparam!$C$34:$AZ$34,0,0,1,49-UVG_Calculations!AL$56)), 0)</f>
        <v>0</v>
      </c>
      <c r="AM63" s="174">
        <f ca="1">IFERROR(SUMPRODUCT(UVG_Input_Data!AN45:$AZ45,OFFSET(Inputparam!$C$34:$AZ$34,0,0,1,49-UVG_Calculations!AM$56)), 0)</f>
        <v>0</v>
      </c>
      <c r="AN63" s="174">
        <f ca="1">IFERROR(SUMPRODUCT(UVG_Input_Data!AO45:$AZ45,OFFSET(Inputparam!$C$34:$AZ$34,0,0,1,49-UVG_Calculations!AN$56)), 0)</f>
        <v>0</v>
      </c>
      <c r="AO63" s="174">
        <f ca="1">IFERROR(SUMPRODUCT(UVG_Input_Data!AP45:$AZ45,OFFSET(Inputparam!$C$34:$AZ$34,0,0,1,49-UVG_Calculations!AO$56)), 0)</f>
        <v>0</v>
      </c>
      <c r="AP63" s="174">
        <f ca="1">IFERROR(SUMPRODUCT(UVG_Input_Data!AQ45:$AZ45,OFFSET(Inputparam!$C$34:$AZ$34,0,0,1,49-UVG_Calculations!AP$56)), 0)</f>
        <v>0</v>
      </c>
      <c r="AQ63" s="174">
        <f ca="1">IFERROR(SUMPRODUCT(UVG_Input_Data!AR45:$AZ45,OFFSET(Inputparam!$C$34:$AZ$34,0,0,1,49-UVG_Calculations!AQ$56)), 0)</f>
        <v>0</v>
      </c>
      <c r="AR63" s="174">
        <f ca="1">IFERROR(SUMPRODUCT(UVG_Input_Data!AS45:$AZ45,OFFSET(Inputparam!$C$34:$AZ$34,0,0,1,49-UVG_Calculations!AR$56)), 0)</f>
        <v>0</v>
      </c>
      <c r="AS63" s="174">
        <f ca="1">IFERROR(SUMPRODUCT(UVG_Input_Data!AT45:$AZ45,OFFSET(Inputparam!$C$34:$AZ$34,0,0,1,49-UVG_Calculations!AS$56)), 0)</f>
        <v>0</v>
      </c>
      <c r="AT63" s="174">
        <f ca="1">IFERROR(SUMPRODUCT(UVG_Input_Data!AU45:$AZ45,OFFSET(Inputparam!$C$34:$AZ$34,0,0,1,49-UVG_Calculations!AT$56)), 0)</f>
        <v>0</v>
      </c>
      <c r="AU63" s="174">
        <f ca="1">IFERROR(SUMPRODUCT(UVG_Input_Data!AV45:$AZ45,OFFSET(Inputparam!$C$34:$AZ$34,0,0,1,49-UVG_Calculations!AU$56)), 0)</f>
        <v>0</v>
      </c>
      <c r="AV63" s="174">
        <f ca="1">IFERROR(SUMPRODUCT(UVG_Input_Data!AW45:$AZ45,OFFSET(Inputparam!$C$34:$AZ$34,0,0,1,49-UVG_Calculations!AV$56)), 0)</f>
        <v>0</v>
      </c>
      <c r="AW63" s="174">
        <f ca="1">IFERROR(SUMPRODUCT(UVG_Input_Data!AX45:$AZ45,OFFSET(Inputparam!$C$34:$AZ$34,0,0,1,49-UVG_Calculations!AW$56)), 0)</f>
        <v>0</v>
      </c>
      <c r="AX63" s="174">
        <f ca="1">IFERROR(SUMPRODUCT(UVG_Input_Data!AY45:$AZ45,OFFSET(Inputparam!$C$34:$AZ$34,0,0,1,49-UVG_Calculations!AX$56)), 0)</f>
        <v>0</v>
      </c>
      <c r="AY63" s="174">
        <f ca="1">IFERROR(SUMPRODUCT(UVG_Input_Data!AZ45:$AZ45,OFFSET(Inputparam!$C$34:$AZ$34,0,0,1,49-UVG_Calculations!AY$56)), 0)</f>
        <v>0</v>
      </c>
      <c r="AZ63" s="174">
        <f ca="1">IFERROR(SUMPRODUCT(UVG_Input_Data!$AZ45:BA45,OFFSET(Inputparam!$C$34:$AZ$34,0,0,1,49-UVG_Calculations!AZ$56)), 0)</f>
        <v>0</v>
      </c>
    </row>
    <row r="64" spans="2:53">
      <c r="B64" s="172" t="s">
        <v>564</v>
      </c>
      <c r="C64" s="171"/>
      <c r="D64" s="84"/>
      <c r="E64" s="84"/>
      <c r="F64" s="84"/>
      <c r="G64" s="84"/>
      <c r="H64" s="84"/>
      <c r="I64" s="174">
        <f ca="1">IFERROR(SUMPRODUCT(UVG_Input_Data!J46:$AZ46,OFFSET(Inputparam!$C$34:$AZ$34,0,0,1,49-UVG_Calculations!I$56)), 0)</f>
        <v>0</v>
      </c>
      <c r="J64" s="174">
        <f ca="1">IFERROR(SUMPRODUCT(UVG_Input_Data!K46:$AZ46,OFFSET(Inputparam!$C$34:$AZ$34,0,0,1,49-UVG_Calculations!J$56)), 0)</f>
        <v>0</v>
      </c>
      <c r="K64" s="174">
        <f ca="1">IFERROR(SUMPRODUCT(UVG_Input_Data!L46:$AZ46,OFFSET(Inputparam!$C$34:$AZ$34,0,0,1,49-UVG_Calculations!K$56)), 0)</f>
        <v>0</v>
      </c>
      <c r="L64" s="174">
        <f ca="1">IFERROR(SUMPRODUCT(UVG_Input_Data!M46:$AZ46,OFFSET(Inputparam!$C$34:$AZ$34,0,0,1,49-UVG_Calculations!L$56)), 0)</f>
        <v>0</v>
      </c>
      <c r="M64" s="174">
        <f ca="1">IFERROR(SUMPRODUCT(UVG_Input_Data!N46:$AZ46,OFFSET(Inputparam!$C$34:$AZ$34,0,0,1,49-UVG_Calculations!M$56)), 0)</f>
        <v>0</v>
      </c>
      <c r="N64" s="174">
        <f ca="1">IFERROR(SUMPRODUCT(UVG_Input_Data!O46:$AZ46,OFFSET(Inputparam!$C$34:$AZ$34,0,0,1,49-UVG_Calculations!N$56)), 0)</f>
        <v>0</v>
      </c>
      <c r="O64" s="174">
        <f ca="1">IFERROR(SUMPRODUCT(UVG_Input_Data!P46:$AZ46,OFFSET(Inputparam!$C$34:$AZ$34,0,0,1,49-UVG_Calculations!O$56)), 0)</f>
        <v>0</v>
      </c>
      <c r="P64" s="174">
        <f ca="1">IFERROR(SUMPRODUCT(UVG_Input_Data!Q46:$AZ46,OFFSET(Inputparam!$C$34:$AZ$34,0,0,1,49-UVG_Calculations!P$56)), 0)</f>
        <v>0</v>
      </c>
      <c r="Q64" s="174">
        <f ca="1">IFERROR(SUMPRODUCT(UVG_Input_Data!R46:$AZ46,OFFSET(Inputparam!$C$34:$AZ$34,0,0,1,49-UVG_Calculations!Q$56)), 0)</f>
        <v>0</v>
      </c>
      <c r="R64" s="174">
        <f ca="1">IFERROR(SUMPRODUCT(UVG_Input_Data!S46:$AZ46,OFFSET(Inputparam!$C$34:$AZ$34,0,0,1,49-UVG_Calculations!R$56)), 0)</f>
        <v>0</v>
      </c>
      <c r="S64" s="174">
        <f ca="1">IFERROR(SUMPRODUCT(UVG_Input_Data!T46:$AZ46,OFFSET(Inputparam!$C$34:$AZ$34,0,0,1,49-UVG_Calculations!S$56)), 0)</f>
        <v>0</v>
      </c>
      <c r="T64" s="174">
        <f ca="1">IFERROR(SUMPRODUCT(UVG_Input_Data!U46:$AZ46,OFFSET(Inputparam!$C$34:$AZ$34,0,0,1,49-UVG_Calculations!T$56)), 0)</f>
        <v>0</v>
      </c>
      <c r="U64" s="174">
        <f ca="1">IFERROR(SUMPRODUCT(UVG_Input_Data!V46:$AZ46,OFFSET(Inputparam!$C$34:$AZ$34,0,0,1,49-UVG_Calculations!U$56)), 0)</f>
        <v>0</v>
      </c>
      <c r="V64" s="174">
        <f ca="1">IFERROR(SUMPRODUCT(UVG_Input_Data!W46:$AZ46,OFFSET(Inputparam!$C$34:$AZ$34,0,0,1,49-UVG_Calculations!V$56)), 0)</f>
        <v>0</v>
      </c>
      <c r="W64" s="174">
        <f ca="1">IFERROR(SUMPRODUCT(UVG_Input_Data!X46:$AZ46,OFFSET(Inputparam!$C$34:$AZ$34,0,0,1,49-UVG_Calculations!W$56)), 0)</f>
        <v>0</v>
      </c>
      <c r="X64" s="174">
        <f ca="1">IFERROR(SUMPRODUCT(UVG_Input_Data!Y46:$AZ46,OFFSET(Inputparam!$C$34:$AZ$34,0,0,1,49-UVG_Calculations!X$56)), 0)</f>
        <v>0</v>
      </c>
      <c r="Y64" s="174">
        <f ca="1">IFERROR(SUMPRODUCT(UVG_Input_Data!Z46:$AZ46,OFFSET(Inputparam!$C$34:$AZ$34,0,0,1,49-UVG_Calculations!Y$56)), 0)</f>
        <v>0</v>
      </c>
      <c r="Z64" s="174">
        <f ca="1">IFERROR(SUMPRODUCT(UVG_Input_Data!AA46:$AZ46,OFFSET(Inputparam!$C$34:$AZ$34,0,0,1,49-UVG_Calculations!Z$56)), 0)</f>
        <v>0</v>
      </c>
      <c r="AA64" s="174">
        <f ca="1">IFERROR(SUMPRODUCT(UVG_Input_Data!AB46:$AZ46,OFFSET(Inputparam!$C$34:$AZ$34,0,0,1,49-UVG_Calculations!AA$56)), 0)</f>
        <v>0</v>
      </c>
      <c r="AB64" s="174">
        <f ca="1">IFERROR(SUMPRODUCT(UVG_Input_Data!AC46:$AZ46,OFFSET(Inputparam!$C$34:$AZ$34,0,0,1,49-UVG_Calculations!AB$56)), 0)</f>
        <v>0</v>
      </c>
      <c r="AC64" s="174">
        <f ca="1">IFERROR(SUMPRODUCT(UVG_Input_Data!AD46:$AZ46,OFFSET(Inputparam!$C$34:$AZ$34,0,0,1,49-UVG_Calculations!AC$56)), 0)</f>
        <v>0</v>
      </c>
      <c r="AD64" s="174">
        <f ca="1">IFERROR(SUMPRODUCT(UVG_Input_Data!AE46:$AZ46,OFFSET(Inputparam!$C$34:$AZ$34,0,0,1,49-UVG_Calculations!AD$56)), 0)</f>
        <v>0</v>
      </c>
      <c r="AE64" s="174">
        <f ca="1">IFERROR(SUMPRODUCT(UVG_Input_Data!AF46:$AZ46,OFFSET(Inputparam!$C$34:$AZ$34,0,0,1,49-UVG_Calculations!AE$56)), 0)</f>
        <v>0</v>
      </c>
      <c r="AF64" s="174">
        <f ca="1">IFERROR(SUMPRODUCT(UVG_Input_Data!AG46:$AZ46,OFFSET(Inputparam!$C$34:$AZ$34,0,0,1,49-UVG_Calculations!AF$56)), 0)</f>
        <v>0</v>
      </c>
      <c r="AG64" s="174">
        <f ca="1">IFERROR(SUMPRODUCT(UVG_Input_Data!AH46:$AZ46,OFFSET(Inputparam!$C$34:$AZ$34,0,0,1,49-UVG_Calculations!AG$56)), 0)</f>
        <v>0</v>
      </c>
      <c r="AH64" s="174">
        <f ca="1">IFERROR(SUMPRODUCT(UVG_Input_Data!AI46:$AZ46,OFFSET(Inputparam!$C$34:$AZ$34,0,0,1,49-UVG_Calculations!AH$56)), 0)</f>
        <v>0</v>
      </c>
      <c r="AI64" s="174">
        <f ca="1">IFERROR(SUMPRODUCT(UVG_Input_Data!AJ46:$AZ46,OFFSET(Inputparam!$C$34:$AZ$34,0,0,1,49-UVG_Calculations!AI$56)), 0)</f>
        <v>0</v>
      </c>
      <c r="AJ64" s="174">
        <f ca="1">IFERROR(SUMPRODUCT(UVG_Input_Data!AK46:$AZ46,OFFSET(Inputparam!$C$34:$AZ$34,0,0,1,49-UVG_Calculations!AJ$56)), 0)</f>
        <v>0</v>
      </c>
      <c r="AK64" s="174">
        <f ca="1">IFERROR(SUMPRODUCT(UVG_Input_Data!AL46:$AZ46,OFFSET(Inputparam!$C$34:$AZ$34,0,0,1,49-UVG_Calculations!AK$56)), 0)</f>
        <v>0</v>
      </c>
      <c r="AL64" s="174">
        <f ca="1">IFERROR(SUMPRODUCT(UVG_Input_Data!AM46:$AZ46,OFFSET(Inputparam!$C$34:$AZ$34,0,0,1,49-UVG_Calculations!AL$56)), 0)</f>
        <v>0</v>
      </c>
      <c r="AM64" s="174">
        <f ca="1">IFERROR(SUMPRODUCT(UVG_Input_Data!AN46:$AZ46,OFFSET(Inputparam!$C$34:$AZ$34,0,0,1,49-UVG_Calculations!AM$56)), 0)</f>
        <v>0</v>
      </c>
      <c r="AN64" s="174">
        <f ca="1">IFERROR(SUMPRODUCT(UVG_Input_Data!AO46:$AZ46,OFFSET(Inputparam!$C$34:$AZ$34,0,0,1,49-UVG_Calculations!AN$56)), 0)</f>
        <v>0</v>
      </c>
      <c r="AO64" s="174">
        <f ca="1">IFERROR(SUMPRODUCT(UVG_Input_Data!AP46:$AZ46,OFFSET(Inputparam!$C$34:$AZ$34,0,0,1,49-UVG_Calculations!AO$56)), 0)</f>
        <v>0</v>
      </c>
      <c r="AP64" s="174">
        <f ca="1">IFERROR(SUMPRODUCT(UVG_Input_Data!AQ46:$AZ46,OFFSET(Inputparam!$C$34:$AZ$34,0,0,1,49-UVG_Calculations!AP$56)), 0)</f>
        <v>0</v>
      </c>
      <c r="AQ64" s="174">
        <f ca="1">IFERROR(SUMPRODUCT(UVG_Input_Data!AR46:$AZ46,OFFSET(Inputparam!$C$34:$AZ$34,0,0,1,49-UVG_Calculations!AQ$56)), 0)</f>
        <v>0</v>
      </c>
      <c r="AR64" s="174">
        <f ca="1">IFERROR(SUMPRODUCT(UVG_Input_Data!AS46:$AZ46,OFFSET(Inputparam!$C$34:$AZ$34,0,0,1,49-UVG_Calculations!AR$56)), 0)</f>
        <v>0</v>
      </c>
      <c r="AS64" s="174">
        <f ca="1">IFERROR(SUMPRODUCT(UVG_Input_Data!AT46:$AZ46,OFFSET(Inputparam!$C$34:$AZ$34,0,0,1,49-UVG_Calculations!AS$56)), 0)</f>
        <v>0</v>
      </c>
      <c r="AT64" s="174">
        <f ca="1">IFERROR(SUMPRODUCT(UVG_Input_Data!AU46:$AZ46,OFFSET(Inputparam!$C$34:$AZ$34,0,0,1,49-UVG_Calculations!AT$56)), 0)</f>
        <v>0</v>
      </c>
      <c r="AU64" s="174">
        <f ca="1">IFERROR(SUMPRODUCT(UVG_Input_Data!AV46:$AZ46,OFFSET(Inputparam!$C$34:$AZ$34,0,0,1,49-UVG_Calculations!AU$56)), 0)</f>
        <v>0</v>
      </c>
      <c r="AV64" s="174">
        <f ca="1">IFERROR(SUMPRODUCT(UVG_Input_Data!AW46:$AZ46,OFFSET(Inputparam!$C$34:$AZ$34,0,0,1,49-UVG_Calculations!AV$56)), 0)</f>
        <v>0</v>
      </c>
      <c r="AW64" s="174">
        <f ca="1">IFERROR(SUMPRODUCT(UVG_Input_Data!AX46:$AZ46,OFFSET(Inputparam!$C$34:$AZ$34,0,0,1,49-UVG_Calculations!AW$56)), 0)</f>
        <v>0</v>
      </c>
      <c r="AX64" s="174">
        <f ca="1">IFERROR(SUMPRODUCT(UVG_Input_Data!AY46:$AZ46,OFFSET(Inputparam!$C$34:$AZ$34,0,0,1,49-UVG_Calculations!AX$56)), 0)</f>
        <v>0</v>
      </c>
      <c r="AY64" s="174">
        <f ca="1">IFERROR(SUMPRODUCT(UVG_Input_Data!AZ46:$AZ46,OFFSET(Inputparam!$C$34:$AZ$34,0,0,1,49-UVG_Calculations!AY$56)), 0)</f>
        <v>0</v>
      </c>
      <c r="AZ64" s="174">
        <f ca="1">IFERROR(SUMPRODUCT(UVG_Input_Data!$AZ46:BA46,OFFSET(Inputparam!$C$34:$AZ$34,0,0,1,49-UVG_Calculations!AZ$56)), 0)</f>
        <v>0</v>
      </c>
    </row>
    <row r="65" spans="2:52">
      <c r="B65" s="172" t="s">
        <v>565</v>
      </c>
      <c r="C65" s="171"/>
      <c r="D65" s="84"/>
      <c r="E65" s="84"/>
      <c r="F65" s="84"/>
      <c r="G65" s="84"/>
      <c r="H65" s="84"/>
      <c r="I65" s="84"/>
      <c r="J65" s="174">
        <f ca="1">IFERROR(SUMPRODUCT(UVG_Input_Data!K47:$AZ47,OFFSET(Inputparam!$C$34:$AZ$34,0,0,1,49-UVG_Calculations!J$56)), 0)</f>
        <v>0</v>
      </c>
      <c r="K65" s="174">
        <f ca="1">IFERROR(SUMPRODUCT(UVG_Input_Data!L47:$AZ47,OFFSET(Inputparam!$C$34:$AZ$34,0,0,1,49-UVG_Calculations!K$56)), 0)</f>
        <v>0</v>
      </c>
      <c r="L65" s="174">
        <f ca="1">IFERROR(SUMPRODUCT(UVG_Input_Data!M47:$AZ47,OFFSET(Inputparam!$C$34:$AZ$34,0,0,1,49-UVG_Calculations!L$56)), 0)</f>
        <v>0</v>
      </c>
      <c r="M65" s="174">
        <f ca="1">IFERROR(SUMPRODUCT(UVG_Input_Data!N47:$AZ47,OFFSET(Inputparam!$C$34:$AZ$34,0,0,1,49-UVG_Calculations!M$56)), 0)</f>
        <v>0</v>
      </c>
      <c r="N65" s="174">
        <f ca="1">IFERROR(SUMPRODUCT(UVG_Input_Data!O47:$AZ47,OFFSET(Inputparam!$C$34:$AZ$34,0,0,1,49-UVG_Calculations!N$56)), 0)</f>
        <v>0</v>
      </c>
      <c r="O65" s="174">
        <f ca="1">IFERROR(SUMPRODUCT(UVG_Input_Data!P47:$AZ47,OFFSET(Inputparam!$C$34:$AZ$34,0,0,1,49-UVG_Calculations!O$56)), 0)</f>
        <v>0</v>
      </c>
      <c r="P65" s="174">
        <f ca="1">IFERROR(SUMPRODUCT(UVG_Input_Data!Q47:$AZ47,OFFSET(Inputparam!$C$34:$AZ$34,0,0,1,49-UVG_Calculations!P$56)), 0)</f>
        <v>0</v>
      </c>
      <c r="Q65" s="174">
        <f ca="1">IFERROR(SUMPRODUCT(UVG_Input_Data!R47:$AZ47,OFFSET(Inputparam!$C$34:$AZ$34,0,0,1,49-UVG_Calculations!Q$56)), 0)</f>
        <v>0</v>
      </c>
      <c r="R65" s="174">
        <f ca="1">IFERROR(SUMPRODUCT(UVG_Input_Data!S47:$AZ47,OFFSET(Inputparam!$C$34:$AZ$34,0,0,1,49-UVG_Calculations!R$56)), 0)</f>
        <v>0</v>
      </c>
      <c r="S65" s="174">
        <f ca="1">IFERROR(SUMPRODUCT(UVG_Input_Data!T47:$AZ47,OFFSET(Inputparam!$C$34:$AZ$34,0,0,1,49-UVG_Calculations!S$56)), 0)</f>
        <v>0</v>
      </c>
      <c r="T65" s="174">
        <f ca="1">IFERROR(SUMPRODUCT(UVG_Input_Data!U47:$AZ47,OFFSET(Inputparam!$C$34:$AZ$34,0,0,1,49-UVG_Calculations!T$56)), 0)</f>
        <v>0</v>
      </c>
      <c r="U65" s="174">
        <f ca="1">IFERROR(SUMPRODUCT(UVG_Input_Data!V47:$AZ47,OFFSET(Inputparam!$C$34:$AZ$34,0,0,1,49-UVG_Calculations!U$56)), 0)</f>
        <v>0</v>
      </c>
      <c r="V65" s="174">
        <f ca="1">IFERROR(SUMPRODUCT(UVG_Input_Data!W47:$AZ47,OFFSET(Inputparam!$C$34:$AZ$34,0,0,1,49-UVG_Calculations!V$56)), 0)</f>
        <v>0</v>
      </c>
      <c r="W65" s="174">
        <f ca="1">IFERROR(SUMPRODUCT(UVG_Input_Data!X47:$AZ47,OFFSET(Inputparam!$C$34:$AZ$34,0,0,1,49-UVG_Calculations!W$56)), 0)</f>
        <v>0</v>
      </c>
      <c r="X65" s="174">
        <f ca="1">IFERROR(SUMPRODUCT(UVG_Input_Data!Y47:$AZ47,OFFSET(Inputparam!$C$34:$AZ$34,0,0,1,49-UVG_Calculations!X$56)), 0)</f>
        <v>0</v>
      </c>
      <c r="Y65" s="174">
        <f ca="1">IFERROR(SUMPRODUCT(UVG_Input_Data!Z47:$AZ47,OFFSET(Inputparam!$C$34:$AZ$34,0,0,1,49-UVG_Calculations!Y$56)), 0)</f>
        <v>0</v>
      </c>
      <c r="Z65" s="174">
        <f ca="1">IFERROR(SUMPRODUCT(UVG_Input_Data!AA47:$AZ47,OFFSET(Inputparam!$C$34:$AZ$34,0,0,1,49-UVG_Calculations!Z$56)), 0)</f>
        <v>0</v>
      </c>
      <c r="AA65" s="174">
        <f ca="1">IFERROR(SUMPRODUCT(UVG_Input_Data!AB47:$AZ47,OFFSET(Inputparam!$C$34:$AZ$34,0,0,1,49-UVG_Calculations!AA$56)), 0)</f>
        <v>0</v>
      </c>
      <c r="AB65" s="174">
        <f ca="1">IFERROR(SUMPRODUCT(UVG_Input_Data!AC47:$AZ47,OFFSET(Inputparam!$C$34:$AZ$34,0,0,1,49-UVG_Calculations!AB$56)), 0)</f>
        <v>0</v>
      </c>
      <c r="AC65" s="174">
        <f ca="1">IFERROR(SUMPRODUCT(UVG_Input_Data!AD47:$AZ47,OFFSET(Inputparam!$C$34:$AZ$34,0,0,1,49-UVG_Calculations!AC$56)), 0)</f>
        <v>0</v>
      </c>
      <c r="AD65" s="174">
        <f ca="1">IFERROR(SUMPRODUCT(UVG_Input_Data!AE47:$AZ47,OFFSET(Inputparam!$C$34:$AZ$34,0,0,1,49-UVG_Calculations!AD$56)), 0)</f>
        <v>0</v>
      </c>
      <c r="AE65" s="174">
        <f ca="1">IFERROR(SUMPRODUCT(UVG_Input_Data!AF47:$AZ47,OFFSET(Inputparam!$C$34:$AZ$34,0,0,1,49-UVG_Calculations!AE$56)), 0)</f>
        <v>0</v>
      </c>
      <c r="AF65" s="174">
        <f ca="1">IFERROR(SUMPRODUCT(UVG_Input_Data!AG47:$AZ47,OFFSET(Inputparam!$C$34:$AZ$34,0,0,1,49-UVG_Calculations!AF$56)), 0)</f>
        <v>0</v>
      </c>
      <c r="AG65" s="174">
        <f ca="1">IFERROR(SUMPRODUCT(UVG_Input_Data!AH47:$AZ47,OFFSET(Inputparam!$C$34:$AZ$34,0,0,1,49-UVG_Calculations!AG$56)), 0)</f>
        <v>0</v>
      </c>
      <c r="AH65" s="174">
        <f ca="1">IFERROR(SUMPRODUCT(UVG_Input_Data!AI47:$AZ47,OFFSET(Inputparam!$C$34:$AZ$34,0,0,1,49-UVG_Calculations!AH$56)), 0)</f>
        <v>0</v>
      </c>
      <c r="AI65" s="174">
        <f ca="1">IFERROR(SUMPRODUCT(UVG_Input_Data!AJ47:$AZ47,OFFSET(Inputparam!$C$34:$AZ$34,0,0,1,49-UVG_Calculations!AI$56)), 0)</f>
        <v>0</v>
      </c>
      <c r="AJ65" s="174">
        <f ca="1">IFERROR(SUMPRODUCT(UVG_Input_Data!AK47:$AZ47,OFFSET(Inputparam!$C$34:$AZ$34,0,0,1,49-UVG_Calculations!AJ$56)), 0)</f>
        <v>0</v>
      </c>
      <c r="AK65" s="174">
        <f ca="1">IFERROR(SUMPRODUCT(UVG_Input_Data!AL47:$AZ47,OFFSET(Inputparam!$C$34:$AZ$34,0,0,1,49-UVG_Calculations!AK$56)), 0)</f>
        <v>0</v>
      </c>
      <c r="AL65" s="174">
        <f ca="1">IFERROR(SUMPRODUCT(UVG_Input_Data!AM47:$AZ47,OFFSET(Inputparam!$C$34:$AZ$34,0,0,1,49-UVG_Calculations!AL$56)), 0)</f>
        <v>0</v>
      </c>
      <c r="AM65" s="174">
        <f ca="1">IFERROR(SUMPRODUCT(UVG_Input_Data!AN47:$AZ47,OFFSET(Inputparam!$C$34:$AZ$34,0,0,1,49-UVG_Calculations!AM$56)), 0)</f>
        <v>0</v>
      </c>
      <c r="AN65" s="174">
        <f ca="1">IFERROR(SUMPRODUCT(UVG_Input_Data!AO47:$AZ47,OFFSET(Inputparam!$C$34:$AZ$34,0,0,1,49-UVG_Calculations!AN$56)), 0)</f>
        <v>0</v>
      </c>
      <c r="AO65" s="174">
        <f ca="1">IFERROR(SUMPRODUCT(UVG_Input_Data!AP47:$AZ47,OFFSET(Inputparam!$C$34:$AZ$34,0,0,1,49-UVG_Calculations!AO$56)), 0)</f>
        <v>0</v>
      </c>
      <c r="AP65" s="174">
        <f ca="1">IFERROR(SUMPRODUCT(UVG_Input_Data!AQ47:$AZ47,OFFSET(Inputparam!$C$34:$AZ$34,0,0,1,49-UVG_Calculations!AP$56)), 0)</f>
        <v>0</v>
      </c>
      <c r="AQ65" s="174">
        <f ca="1">IFERROR(SUMPRODUCT(UVG_Input_Data!AR47:$AZ47,OFFSET(Inputparam!$C$34:$AZ$34,0,0,1,49-UVG_Calculations!AQ$56)), 0)</f>
        <v>0</v>
      </c>
      <c r="AR65" s="174">
        <f ca="1">IFERROR(SUMPRODUCT(UVG_Input_Data!AS47:$AZ47,OFFSET(Inputparam!$C$34:$AZ$34,0,0,1,49-UVG_Calculations!AR$56)), 0)</f>
        <v>0</v>
      </c>
      <c r="AS65" s="174">
        <f ca="1">IFERROR(SUMPRODUCT(UVG_Input_Data!AT47:$AZ47,OFFSET(Inputparam!$C$34:$AZ$34,0,0,1,49-UVG_Calculations!AS$56)), 0)</f>
        <v>0</v>
      </c>
      <c r="AT65" s="174">
        <f ca="1">IFERROR(SUMPRODUCT(UVG_Input_Data!AU47:$AZ47,OFFSET(Inputparam!$C$34:$AZ$34,0,0,1,49-UVG_Calculations!AT$56)), 0)</f>
        <v>0</v>
      </c>
      <c r="AU65" s="174">
        <f ca="1">IFERROR(SUMPRODUCT(UVG_Input_Data!AV47:$AZ47,OFFSET(Inputparam!$C$34:$AZ$34,0,0,1,49-UVG_Calculations!AU$56)), 0)</f>
        <v>0</v>
      </c>
      <c r="AV65" s="174">
        <f ca="1">IFERROR(SUMPRODUCT(UVG_Input_Data!AW47:$AZ47,OFFSET(Inputparam!$C$34:$AZ$34,0,0,1,49-UVG_Calculations!AV$56)), 0)</f>
        <v>0</v>
      </c>
      <c r="AW65" s="174">
        <f ca="1">IFERROR(SUMPRODUCT(UVG_Input_Data!AX47:$AZ47,OFFSET(Inputparam!$C$34:$AZ$34,0,0,1,49-UVG_Calculations!AW$56)), 0)</f>
        <v>0</v>
      </c>
      <c r="AX65" s="174">
        <f ca="1">IFERROR(SUMPRODUCT(UVG_Input_Data!AY47:$AZ47,OFFSET(Inputparam!$C$34:$AZ$34,0,0,1,49-UVG_Calculations!AX$56)), 0)</f>
        <v>0</v>
      </c>
      <c r="AY65" s="174">
        <f ca="1">IFERROR(SUMPRODUCT(UVG_Input_Data!AZ47:$AZ47,OFFSET(Inputparam!$C$34:$AZ$34,0,0,1,49-UVG_Calculations!AY$56)), 0)</f>
        <v>0</v>
      </c>
      <c r="AZ65" s="174">
        <f ca="1">IFERROR(SUMPRODUCT(UVG_Input_Data!$AZ47:BA47,OFFSET(Inputparam!$C$34:$AZ$34,0,0,1,49-UVG_Calculations!AZ$56)), 0)</f>
        <v>0</v>
      </c>
    </row>
    <row r="66" spans="2:52">
      <c r="B66" s="172" t="s">
        <v>566</v>
      </c>
      <c r="C66" s="171"/>
      <c r="D66" s="84"/>
      <c r="E66" s="84"/>
      <c r="F66" s="84"/>
      <c r="G66" s="84"/>
      <c r="H66" s="84"/>
      <c r="I66" s="84"/>
      <c r="J66" s="84"/>
      <c r="K66" s="174">
        <f ca="1">IFERROR(SUMPRODUCT(UVG_Input_Data!L48:$AZ48,OFFSET(Inputparam!$C$34:$AZ$34,0,0,1,49-UVG_Calculations!K$56)), 0)</f>
        <v>0</v>
      </c>
      <c r="L66" s="174">
        <f ca="1">IFERROR(SUMPRODUCT(UVG_Input_Data!M48:$AZ48,OFFSET(Inputparam!$C$34:$AZ$34,0,0,1,49-UVG_Calculations!L$56)), 0)</f>
        <v>0</v>
      </c>
      <c r="M66" s="174">
        <f ca="1">IFERROR(SUMPRODUCT(UVG_Input_Data!N48:$AZ48,OFFSET(Inputparam!$C$34:$AZ$34,0,0,1,49-UVG_Calculations!M$56)), 0)</f>
        <v>0</v>
      </c>
      <c r="N66" s="174">
        <f ca="1">IFERROR(SUMPRODUCT(UVG_Input_Data!O48:$AZ48,OFFSET(Inputparam!$C$34:$AZ$34,0,0,1,49-UVG_Calculations!N$56)), 0)</f>
        <v>0</v>
      </c>
      <c r="O66" s="174">
        <f ca="1">IFERROR(SUMPRODUCT(UVG_Input_Data!P48:$AZ48,OFFSET(Inputparam!$C$34:$AZ$34,0,0,1,49-UVG_Calculations!O$56)), 0)</f>
        <v>0</v>
      </c>
      <c r="P66" s="174">
        <f ca="1">IFERROR(SUMPRODUCT(UVG_Input_Data!Q48:$AZ48,OFFSET(Inputparam!$C$34:$AZ$34,0,0,1,49-UVG_Calculations!P$56)), 0)</f>
        <v>0</v>
      </c>
      <c r="Q66" s="174">
        <f ca="1">IFERROR(SUMPRODUCT(UVG_Input_Data!R48:$AZ48,OFFSET(Inputparam!$C$34:$AZ$34,0,0,1,49-UVG_Calculations!Q$56)), 0)</f>
        <v>0</v>
      </c>
      <c r="R66" s="174">
        <f ca="1">IFERROR(SUMPRODUCT(UVG_Input_Data!S48:$AZ48,OFFSET(Inputparam!$C$34:$AZ$34,0,0,1,49-UVG_Calculations!R$56)), 0)</f>
        <v>0</v>
      </c>
      <c r="S66" s="174">
        <f ca="1">IFERROR(SUMPRODUCT(UVG_Input_Data!T48:$AZ48,OFFSET(Inputparam!$C$34:$AZ$34,0,0,1,49-UVG_Calculations!S$56)), 0)</f>
        <v>0</v>
      </c>
      <c r="T66" s="174">
        <f ca="1">IFERROR(SUMPRODUCT(UVG_Input_Data!U48:$AZ48,OFFSET(Inputparam!$C$34:$AZ$34,0,0,1,49-UVG_Calculations!T$56)), 0)</f>
        <v>0</v>
      </c>
      <c r="U66" s="174">
        <f ca="1">IFERROR(SUMPRODUCT(UVG_Input_Data!V48:$AZ48,OFFSET(Inputparam!$C$34:$AZ$34,0,0,1,49-UVG_Calculations!U$56)), 0)</f>
        <v>0</v>
      </c>
      <c r="V66" s="174">
        <f ca="1">IFERROR(SUMPRODUCT(UVG_Input_Data!W48:$AZ48,OFFSET(Inputparam!$C$34:$AZ$34,0,0,1,49-UVG_Calculations!V$56)), 0)</f>
        <v>0</v>
      </c>
      <c r="W66" s="174">
        <f ca="1">IFERROR(SUMPRODUCT(UVG_Input_Data!X48:$AZ48,OFFSET(Inputparam!$C$34:$AZ$34,0,0,1,49-UVG_Calculations!W$56)), 0)</f>
        <v>0</v>
      </c>
      <c r="X66" s="174">
        <f ca="1">IFERROR(SUMPRODUCT(UVG_Input_Data!Y48:$AZ48,OFFSET(Inputparam!$C$34:$AZ$34,0,0,1,49-UVG_Calculations!X$56)), 0)</f>
        <v>0</v>
      </c>
      <c r="Y66" s="174">
        <f ca="1">IFERROR(SUMPRODUCT(UVG_Input_Data!Z48:$AZ48,OFFSET(Inputparam!$C$34:$AZ$34,0,0,1,49-UVG_Calculations!Y$56)), 0)</f>
        <v>0</v>
      </c>
      <c r="Z66" s="174">
        <f ca="1">IFERROR(SUMPRODUCT(UVG_Input_Data!AA48:$AZ48,OFFSET(Inputparam!$C$34:$AZ$34,0,0,1,49-UVG_Calculations!Z$56)), 0)</f>
        <v>0</v>
      </c>
      <c r="AA66" s="174">
        <f ca="1">IFERROR(SUMPRODUCT(UVG_Input_Data!AB48:$AZ48,OFFSET(Inputparam!$C$34:$AZ$34,0,0,1,49-UVG_Calculations!AA$56)), 0)</f>
        <v>0</v>
      </c>
      <c r="AB66" s="174">
        <f ca="1">IFERROR(SUMPRODUCT(UVG_Input_Data!AC48:$AZ48,OFFSET(Inputparam!$C$34:$AZ$34,0,0,1,49-UVG_Calculations!AB$56)), 0)</f>
        <v>0</v>
      </c>
      <c r="AC66" s="174">
        <f ca="1">IFERROR(SUMPRODUCT(UVG_Input_Data!AD48:$AZ48,OFFSET(Inputparam!$C$34:$AZ$34,0,0,1,49-UVG_Calculations!AC$56)), 0)</f>
        <v>0</v>
      </c>
      <c r="AD66" s="174">
        <f ca="1">IFERROR(SUMPRODUCT(UVG_Input_Data!AE48:$AZ48,OFFSET(Inputparam!$C$34:$AZ$34,0,0,1,49-UVG_Calculations!AD$56)), 0)</f>
        <v>0</v>
      </c>
      <c r="AE66" s="174">
        <f ca="1">IFERROR(SUMPRODUCT(UVG_Input_Data!AF48:$AZ48,OFFSET(Inputparam!$C$34:$AZ$34,0,0,1,49-UVG_Calculations!AE$56)), 0)</f>
        <v>0</v>
      </c>
      <c r="AF66" s="174">
        <f ca="1">IFERROR(SUMPRODUCT(UVG_Input_Data!AG48:$AZ48,OFFSET(Inputparam!$C$34:$AZ$34,0,0,1,49-UVG_Calculations!AF$56)), 0)</f>
        <v>0</v>
      </c>
      <c r="AG66" s="174">
        <f ca="1">IFERROR(SUMPRODUCT(UVG_Input_Data!AH48:$AZ48,OFFSET(Inputparam!$C$34:$AZ$34,0,0,1,49-UVG_Calculations!AG$56)), 0)</f>
        <v>0</v>
      </c>
      <c r="AH66" s="174">
        <f ca="1">IFERROR(SUMPRODUCT(UVG_Input_Data!AI48:$AZ48,OFFSET(Inputparam!$C$34:$AZ$34,0,0,1,49-UVG_Calculations!AH$56)), 0)</f>
        <v>0</v>
      </c>
      <c r="AI66" s="174">
        <f ca="1">IFERROR(SUMPRODUCT(UVG_Input_Data!AJ48:$AZ48,OFFSET(Inputparam!$C$34:$AZ$34,0,0,1,49-UVG_Calculations!AI$56)), 0)</f>
        <v>0</v>
      </c>
      <c r="AJ66" s="174">
        <f ca="1">IFERROR(SUMPRODUCT(UVG_Input_Data!AK48:$AZ48,OFFSET(Inputparam!$C$34:$AZ$34,0,0,1,49-UVG_Calculations!AJ$56)), 0)</f>
        <v>0</v>
      </c>
      <c r="AK66" s="174">
        <f ca="1">IFERROR(SUMPRODUCT(UVG_Input_Data!AL48:$AZ48,OFFSET(Inputparam!$C$34:$AZ$34,0,0,1,49-UVG_Calculations!AK$56)), 0)</f>
        <v>0</v>
      </c>
      <c r="AL66" s="174">
        <f ca="1">IFERROR(SUMPRODUCT(UVG_Input_Data!AM48:$AZ48,OFFSET(Inputparam!$C$34:$AZ$34,0,0,1,49-UVG_Calculations!AL$56)), 0)</f>
        <v>0</v>
      </c>
      <c r="AM66" s="174">
        <f ca="1">IFERROR(SUMPRODUCT(UVG_Input_Data!AN48:$AZ48,OFFSET(Inputparam!$C$34:$AZ$34,0,0,1,49-UVG_Calculations!AM$56)), 0)</f>
        <v>0</v>
      </c>
      <c r="AN66" s="174">
        <f ca="1">IFERROR(SUMPRODUCT(UVG_Input_Data!AO48:$AZ48,OFFSET(Inputparam!$C$34:$AZ$34,0,0,1,49-UVG_Calculations!AN$56)), 0)</f>
        <v>0</v>
      </c>
      <c r="AO66" s="174">
        <f ca="1">IFERROR(SUMPRODUCT(UVG_Input_Data!AP48:$AZ48,OFFSET(Inputparam!$C$34:$AZ$34,0,0,1,49-UVG_Calculations!AO$56)), 0)</f>
        <v>0</v>
      </c>
      <c r="AP66" s="174">
        <f ca="1">IFERROR(SUMPRODUCT(UVG_Input_Data!AQ48:$AZ48,OFFSET(Inputparam!$C$34:$AZ$34,0,0,1,49-UVG_Calculations!AP$56)), 0)</f>
        <v>0</v>
      </c>
      <c r="AQ66" s="174">
        <f ca="1">IFERROR(SUMPRODUCT(UVG_Input_Data!AR48:$AZ48,OFFSET(Inputparam!$C$34:$AZ$34,0,0,1,49-UVG_Calculations!AQ$56)), 0)</f>
        <v>0</v>
      </c>
      <c r="AR66" s="174">
        <f ca="1">IFERROR(SUMPRODUCT(UVG_Input_Data!AS48:$AZ48,OFFSET(Inputparam!$C$34:$AZ$34,0,0,1,49-UVG_Calculations!AR$56)), 0)</f>
        <v>0</v>
      </c>
      <c r="AS66" s="174">
        <f ca="1">IFERROR(SUMPRODUCT(UVG_Input_Data!AT48:$AZ48,OFFSET(Inputparam!$C$34:$AZ$34,0,0,1,49-UVG_Calculations!AS$56)), 0)</f>
        <v>0</v>
      </c>
      <c r="AT66" s="174">
        <f ca="1">IFERROR(SUMPRODUCT(UVG_Input_Data!AU48:$AZ48,OFFSET(Inputparam!$C$34:$AZ$34,0,0,1,49-UVG_Calculations!AT$56)), 0)</f>
        <v>0</v>
      </c>
      <c r="AU66" s="174">
        <f ca="1">IFERROR(SUMPRODUCT(UVG_Input_Data!AV48:$AZ48,OFFSET(Inputparam!$C$34:$AZ$34,0,0,1,49-UVG_Calculations!AU$56)), 0)</f>
        <v>0</v>
      </c>
      <c r="AV66" s="174">
        <f ca="1">IFERROR(SUMPRODUCT(UVG_Input_Data!AW48:$AZ48,OFFSET(Inputparam!$C$34:$AZ$34,0,0,1,49-UVG_Calculations!AV$56)), 0)</f>
        <v>0</v>
      </c>
      <c r="AW66" s="174">
        <f ca="1">IFERROR(SUMPRODUCT(UVG_Input_Data!AX48:$AZ48,OFFSET(Inputparam!$C$34:$AZ$34,0,0,1,49-UVG_Calculations!AW$56)), 0)</f>
        <v>0</v>
      </c>
      <c r="AX66" s="174">
        <f ca="1">IFERROR(SUMPRODUCT(UVG_Input_Data!AY48:$AZ48,OFFSET(Inputparam!$C$34:$AZ$34,0,0,1,49-UVG_Calculations!AX$56)), 0)</f>
        <v>0</v>
      </c>
      <c r="AY66" s="174">
        <f ca="1">IFERROR(SUMPRODUCT(UVG_Input_Data!AZ48:$AZ48,OFFSET(Inputparam!$C$34:$AZ$34,0,0,1,49-UVG_Calculations!AY$56)), 0)</f>
        <v>0</v>
      </c>
      <c r="AZ66" s="174">
        <f ca="1">IFERROR(SUMPRODUCT(UVG_Input_Data!$AZ48:BA48,OFFSET(Inputparam!$C$34:$AZ$34,0,0,1,49-UVG_Calculations!AZ$56)), 0)</f>
        <v>0</v>
      </c>
    </row>
    <row r="67" spans="2:52">
      <c r="B67" s="172" t="s">
        <v>567</v>
      </c>
      <c r="C67" s="171"/>
      <c r="D67" s="84"/>
      <c r="E67" s="84"/>
      <c r="F67" s="84"/>
      <c r="G67" s="84"/>
      <c r="H67" s="84"/>
      <c r="I67" s="84"/>
      <c r="J67" s="84"/>
      <c r="K67" s="84"/>
      <c r="L67" s="174">
        <f ca="1">IFERROR(SUMPRODUCT(UVG_Input_Data!M49:$AZ49,OFFSET(Inputparam!$C$34:$AZ$34,0,0,1,49-UVG_Calculations!L$56)), 0)</f>
        <v>0</v>
      </c>
      <c r="M67" s="174">
        <f ca="1">IFERROR(SUMPRODUCT(UVG_Input_Data!N49:$AZ49,OFFSET(Inputparam!$C$34:$AZ$34,0,0,1,49-UVG_Calculations!M$56)), 0)</f>
        <v>0</v>
      </c>
      <c r="N67" s="174">
        <f ca="1">IFERROR(SUMPRODUCT(UVG_Input_Data!O49:$AZ49,OFFSET(Inputparam!$C$34:$AZ$34,0,0,1,49-UVG_Calculations!N$56)), 0)</f>
        <v>0</v>
      </c>
      <c r="O67" s="174">
        <f ca="1">IFERROR(SUMPRODUCT(UVG_Input_Data!P49:$AZ49,OFFSET(Inputparam!$C$34:$AZ$34,0,0,1,49-UVG_Calculations!O$56)), 0)</f>
        <v>0</v>
      </c>
      <c r="P67" s="174">
        <f ca="1">IFERROR(SUMPRODUCT(UVG_Input_Data!Q49:$AZ49,OFFSET(Inputparam!$C$34:$AZ$34,0,0,1,49-UVG_Calculations!P$56)), 0)</f>
        <v>0</v>
      </c>
      <c r="Q67" s="174">
        <f ca="1">IFERROR(SUMPRODUCT(UVG_Input_Data!R49:$AZ49,OFFSET(Inputparam!$C$34:$AZ$34,0,0,1,49-UVG_Calculations!Q$56)), 0)</f>
        <v>0</v>
      </c>
      <c r="R67" s="174">
        <f ca="1">IFERROR(SUMPRODUCT(UVG_Input_Data!S49:$AZ49,OFFSET(Inputparam!$C$34:$AZ$34,0,0,1,49-UVG_Calculations!R$56)), 0)</f>
        <v>0</v>
      </c>
      <c r="S67" s="174">
        <f ca="1">IFERROR(SUMPRODUCT(UVG_Input_Data!T49:$AZ49,OFFSET(Inputparam!$C$34:$AZ$34,0,0,1,49-UVG_Calculations!S$56)), 0)</f>
        <v>0</v>
      </c>
      <c r="T67" s="174">
        <f ca="1">IFERROR(SUMPRODUCT(UVG_Input_Data!U49:$AZ49,OFFSET(Inputparam!$C$34:$AZ$34,0,0,1,49-UVG_Calculations!T$56)), 0)</f>
        <v>0</v>
      </c>
      <c r="U67" s="174">
        <f ca="1">IFERROR(SUMPRODUCT(UVG_Input_Data!V49:$AZ49,OFFSET(Inputparam!$C$34:$AZ$34,0,0,1,49-UVG_Calculations!U$56)), 0)</f>
        <v>0</v>
      </c>
      <c r="V67" s="174">
        <f ca="1">IFERROR(SUMPRODUCT(UVG_Input_Data!W49:$AZ49,OFFSET(Inputparam!$C$34:$AZ$34,0,0,1,49-UVG_Calculations!V$56)), 0)</f>
        <v>0</v>
      </c>
      <c r="W67" s="174">
        <f ca="1">IFERROR(SUMPRODUCT(UVG_Input_Data!X49:$AZ49,OFFSET(Inputparam!$C$34:$AZ$34,0,0,1,49-UVG_Calculations!W$56)), 0)</f>
        <v>0</v>
      </c>
      <c r="X67" s="174">
        <f ca="1">IFERROR(SUMPRODUCT(UVG_Input_Data!Y49:$AZ49,OFFSET(Inputparam!$C$34:$AZ$34,0,0,1,49-UVG_Calculations!X$56)), 0)</f>
        <v>0</v>
      </c>
      <c r="Y67" s="174">
        <f ca="1">IFERROR(SUMPRODUCT(UVG_Input_Data!Z49:$AZ49,OFFSET(Inputparam!$C$34:$AZ$34,0,0,1,49-UVG_Calculations!Y$56)), 0)</f>
        <v>0</v>
      </c>
      <c r="Z67" s="174">
        <f ca="1">IFERROR(SUMPRODUCT(UVG_Input_Data!AA49:$AZ49,OFFSET(Inputparam!$C$34:$AZ$34,0,0,1,49-UVG_Calculations!Z$56)), 0)</f>
        <v>0</v>
      </c>
      <c r="AA67" s="174">
        <f ca="1">IFERROR(SUMPRODUCT(UVG_Input_Data!AB49:$AZ49,OFFSET(Inputparam!$C$34:$AZ$34,0,0,1,49-UVG_Calculations!AA$56)), 0)</f>
        <v>0</v>
      </c>
      <c r="AB67" s="174">
        <f ca="1">IFERROR(SUMPRODUCT(UVG_Input_Data!AC49:$AZ49,OFFSET(Inputparam!$C$34:$AZ$34,0,0,1,49-UVG_Calculations!AB$56)), 0)</f>
        <v>0</v>
      </c>
      <c r="AC67" s="174">
        <f ca="1">IFERROR(SUMPRODUCT(UVG_Input_Data!AD49:$AZ49,OFFSET(Inputparam!$C$34:$AZ$34,0,0,1,49-UVG_Calculations!AC$56)), 0)</f>
        <v>0</v>
      </c>
      <c r="AD67" s="174">
        <f ca="1">IFERROR(SUMPRODUCT(UVG_Input_Data!AE49:$AZ49,OFFSET(Inputparam!$C$34:$AZ$34,0,0,1,49-UVG_Calculations!AD$56)), 0)</f>
        <v>0</v>
      </c>
      <c r="AE67" s="174">
        <f ca="1">IFERROR(SUMPRODUCT(UVG_Input_Data!AF49:$AZ49,OFFSET(Inputparam!$C$34:$AZ$34,0,0,1,49-UVG_Calculations!AE$56)), 0)</f>
        <v>0</v>
      </c>
      <c r="AF67" s="174">
        <f ca="1">IFERROR(SUMPRODUCT(UVG_Input_Data!AG49:$AZ49,OFFSET(Inputparam!$C$34:$AZ$34,0,0,1,49-UVG_Calculations!AF$56)), 0)</f>
        <v>0</v>
      </c>
      <c r="AG67" s="174">
        <f ca="1">IFERROR(SUMPRODUCT(UVG_Input_Data!AH49:$AZ49,OFFSET(Inputparam!$C$34:$AZ$34,0,0,1,49-UVG_Calculations!AG$56)), 0)</f>
        <v>0</v>
      </c>
      <c r="AH67" s="174">
        <f ca="1">IFERROR(SUMPRODUCT(UVG_Input_Data!AI49:$AZ49,OFFSET(Inputparam!$C$34:$AZ$34,0,0,1,49-UVG_Calculations!AH$56)), 0)</f>
        <v>0</v>
      </c>
      <c r="AI67" s="174">
        <f ca="1">IFERROR(SUMPRODUCT(UVG_Input_Data!AJ49:$AZ49,OFFSET(Inputparam!$C$34:$AZ$34,0,0,1,49-UVG_Calculations!AI$56)), 0)</f>
        <v>0</v>
      </c>
      <c r="AJ67" s="174">
        <f ca="1">IFERROR(SUMPRODUCT(UVG_Input_Data!AK49:$AZ49,OFFSET(Inputparam!$C$34:$AZ$34,0,0,1,49-UVG_Calculations!AJ$56)), 0)</f>
        <v>0</v>
      </c>
      <c r="AK67" s="174">
        <f ca="1">IFERROR(SUMPRODUCT(UVG_Input_Data!AL49:$AZ49,OFFSET(Inputparam!$C$34:$AZ$34,0,0,1,49-UVG_Calculations!AK$56)), 0)</f>
        <v>0</v>
      </c>
      <c r="AL67" s="174">
        <f ca="1">IFERROR(SUMPRODUCT(UVG_Input_Data!AM49:$AZ49,OFFSET(Inputparam!$C$34:$AZ$34,0,0,1,49-UVG_Calculations!AL$56)), 0)</f>
        <v>0</v>
      </c>
      <c r="AM67" s="174">
        <f ca="1">IFERROR(SUMPRODUCT(UVG_Input_Data!AN49:$AZ49,OFFSET(Inputparam!$C$34:$AZ$34,0,0,1,49-UVG_Calculations!AM$56)), 0)</f>
        <v>0</v>
      </c>
      <c r="AN67" s="174">
        <f ca="1">IFERROR(SUMPRODUCT(UVG_Input_Data!AO49:$AZ49,OFFSET(Inputparam!$C$34:$AZ$34,0,0,1,49-UVG_Calculations!AN$56)), 0)</f>
        <v>0</v>
      </c>
      <c r="AO67" s="174">
        <f ca="1">IFERROR(SUMPRODUCT(UVG_Input_Data!AP49:$AZ49,OFFSET(Inputparam!$C$34:$AZ$34,0,0,1,49-UVG_Calculations!AO$56)), 0)</f>
        <v>0</v>
      </c>
      <c r="AP67" s="174">
        <f ca="1">IFERROR(SUMPRODUCT(UVG_Input_Data!AQ49:$AZ49,OFFSET(Inputparam!$C$34:$AZ$34,0,0,1,49-UVG_Calculations!AP$56)), 0)</f>
        <v>0</v>
      </c>
      <c r="AQ67" s="174">
        <f ca="1">IFERROR(SUMPRODUCT(UVG_Input_Data!AR49:$AZ49,OFFSET(Inputparam!$C$34:$AZ$34,0,0,1,49-UVG_Calculations!AQ$56)), 0)</f>
        <v>0</v>
      </c>
      <c r="AR67" s="174">
        <f ca="1">IFERROR(SUMPRODUCT(UVG_Input_Data!AS49:$AZ49,OFFSET(Inputparam!$C$34:$AZ$34,0,0,1,49-UVG_Calculations!AR$56)), 0)</f>
        <v>0</v>
      </c>
      <c r="AS67" s="174">
        <f ca="1">IFERROR(SUMPRODUCT(UVG_Input_Data!AT49:$AZ49,OFFSET(Inputparam!$C$34:$AZ$34,0,0,1,49-UVG_Calculations!AS$56)), 0)</f>
        <v>0</v>
      </c>
      <c r="AT67" s="174">
        <f ca="1">IFERROR(SUMPRODUCT(UVG_Input_Data!AU49:$AZ49,OFFSET(Inputparam!$C$34:$AZ$34,0,0,1,49-UVG_Calculations!AT$56)), 0)</f>
        <v>0</v>
      </c>
      <c r="AU67" s="174">
        <f ca="1">IFERROR(SUMPRODUCT(UVG_Input_Data!AV49:$AZ49,OFFSET(Inputparam!$C$34:$AZ$34,0,0,1,49-UVG_Calculations!AU$56)), 0)</f>
        <v>0</v>
      </c>
      <c r="AV67" s="174">
        <f ca="1">IFERROR(SUMPRODUCT(UVG_Input_Data!AW49:$AZ49,OFFSET(Inputparam!$C$34:$AZ$34,0,0,1,49-UVG_Calculations!AV$56)), 0)</f>
        <v>0</v>
      </c>
      <c r="AW67" s="174">
        <f ca="1">IFERROR(SUMPRODUCT(UVG_Input_Data!AX49:$AZ49,OFFSET(Inputparam!$C$34:$AZ$34,0,0,1,49-UVG_Calculations!AW$56)), 0)</f>
        <v>0</v>
      </c>
      <c r="AX67" s="174">
        <f ca="1">IFERROR(SUMPRODUCT(UVG_Input_Data!AY49:$AZ49,OFFSET(Inputparam!$C$34:$AZ$34,0,0,1,49-UVG_Calculations!AX$56)), 0)</f>
        <v>0</v>
      </c>
      <c r="AY67" s="174">
        <f ca="1">IFERROR(SUMPRODUCT(UVG_Input_Data!AZ49:$AZ49,OFFSET(Inputparam!$C$34:$AZ$34,0,0,1,49-UVG_Calculations!AY$56)), 0)</f>
        <v>0</v>
      </c>
      <c r="AZ67" s="174">
        <f ca="1">IFERROR(SUMPRODUCT(UVG_Input_Data!$AZ49:BA49,OFFSET(Inputparam!$C$34:$AZ$34,0,0,1,49-UVG_Calculations!AZ$56)), 0)</f>
        <v>0</v>
      </c>
    </row>
    <row r="68" spans="2:52">
      <c r="B68" s="172" t="s">
        <v>568</v>
      </c>
      <c r="C68" s="171"/>
      <c r="D68" s="84"/>
      <c r="E68" s="84"/>
      <c r="F68" s="84"/>
      <c r="G68" s="84"/>
      <c r="H68" s="84"/>
      <c r="I68" s="84"/>
      <c r="J68" s="84"/>
      <c r="K68" s="84"/>
      <c r="L68" s="84"/>
      <c r="M68" s="174">
        <f ca="1">IFERROR(SUMPRODUCT(UVG_Input_Data!N50:$AZ50,OFFSET(Inputparam!$C$34:$AZ$34,0,0,1,49-UVG_Calculations!M$56)), 0)</f>
        <v>0</v>
      </c>
      <c r="N68" s="174">
        <f ca="1">IFERROR(SUMPRODUCT(UVG_Input_Data!O50:$AZ50,OFFSET(Inputparam!$C$34:$AZ$34,0,0,1,49-UVG_Calculations!N$56)), 0)</f>
        <v>0</v>
      </c>
      <c r="O68" s="174">
        <f ca="1">IFERROR(SUMPRODUCT(UVG_Input_Data!P50:$AZ50,OFFSET(Inputparam!$C$34:$AZ$34,0,0,1,49-UVG_Calculations!O$56)), 0)</f>
        <v>0</v>
      </c>
      <c r="P68" s="174">
        <f ca="1">IFERROR(SUMPRODUCT(UVG_Input_Data!Q50:$AZ50,OFFSET(Inputparam!$C$34:$AZ$34,0,0,1,49-UVG_Calculations!P$56)), 0)</f>
        <v>0</v>
      </c>
      <c r="Q68" s="174">
        <f ca="1">IFERROR(SUMPRODUCT(UVG_Input_Data!R50:$AZ50,OFFSET(Inputparam!$C$34:$AZ$34,0,0,1,49-UVG_Calculations!Q$56)), 0)</f>
        <v>0</v>
      </c>
      <c r="R68" s="174">
        <f ca="1">IFERROR(SUMPRODUCT(UVG_Input_Data!S50:$AZ50,OFFSET(Inputparam!$C$34:$AZ$34,0,0,1,49-UVG_Calculations!R$56)), 0)</f>
        <v>0</v>
      </c>
      <c r="S68" s="174">
        <f ca="1">IFERROR(SUMPRODUCT(UVG_Input_Data!T50:$AZ50,OFFSET(Inputparam!$C$34:$AZ$34,0,0,1,49-UVG_Calculations!S$56)), 0)</f>
        <v>0</v>
      </c>
      <c r="T68" s="174">
        <f ca="1">IFERROR(SUMPRODUCT(UVG_Input_Data!U50:$AZ50,OFFSET(Inputparam!$C$34:$AZ$34,0,0,1,49-UVG_Calculations!T$56)), 0)</f>
        <v>0</v>
      </c>
      <c r="U68" s="174">
        <f ca="1">IFERROR(SUMPRODUCT(UVG_Input_Data!V50:$AZ50,OFFSET(Inputparam!$C$34:$AZ$34,0,0,1,49-UVG_Calculations!U$56)), 0)</f>
        <v>0</v>
      </c>
      <c r="V68" s="174">
        <f ca="1">IFERROR(SUMPRODUCT(UVG_Input_Data!W50:$AZ50,OFFSET(Inputparam!$C$34:$AZ$34,0,0,1,49-UVG_Calculations!V$56)), 0)</f>
        <v>0</v>
      </c>
      <c r="W68" s="174">
        <f ca="1">IFERROR(SUMPRODUCT(UVG_Input_Data!X50:$AZ50,OFFSET(Inputparam!$C$34:$AZ$34,0,0,1,49-UVG_Calculations!W$56)), 0)</f>
        <v>0</v>
      </c>
      <c r="X68" s="174">
        <f ca="1">IFERROR(SUMPRODUCT(UVG_Input_Data!Y50:$AZ50,OFFSET(Inputparam!$C$34:$AZ$34,0,0,1,49-UVG_Calculations!X$56)), 0)</f>
        <v>0</v>
      </c>
      <c r="Y68" s="174">
        <f ca="1">IFERROR(SUMPRODUCT(UVG_Input_Data!Z50:$AZ50,OFFSET(Inputparam!$C$34:$AZ$34,0,0,1,49-UVG_Calculations!Y$56)), 0)</f>
        <v>0</v>
      </c>
      <c r="Z68" s="174">
        <f ca="1">IFERROR(SUMPRODUCT(UVG_Input_Data!AA50:$AZ50,OFFSET(Inputparam!$C$34:$AZ$34,0,0,1,49-UVG_Calculations!Z$56)), 0)</f>
        <v>0</v>
      </c>
      <c r="AA68" s="174">
        <f ca="1">IFERROR(SUMPRODUCT(UVG_Input_Data!AB50:$AZ50,OFFSET(Inputparam!$C$34:$AZ$34,0,0,1,49-UVG_Calculations!AA$56)), 0)</f>
        <v>0</v>
      </c>
      <c r="AB68" s="174">
        <f ca="1">IFERROR(SUMPRODUCT(UVG_Input_Data!AC50:$AZ50,OFFSET(Inputparam!$C$34:$AZ$34,0,0,1,49-UVG_Calculations!AB$56)), 0)</f>
        <v>0</v>
      </c>
      <c r="AC68" s="174">
        <f ca="1">IFERROR(SUMPRODUCT(UVG_Input_Data!AD50:$AZ50,OFFSET(Inputparam!$C$34:$AZ$34,0,0,1,49-UVG_Calculations!AC$56)), 0)</f>
        <v>0</v>
      </c>
      <c r="AD68" s="174">
        <f ca="1">IFERROR(SUMPRODUCT(UVG_Input_Data!AE50:$AZ50,OFFSET(Inputparam!$C$34:$AZ$34,0,0,1,49-UVG_Calculations!AD$56)), 0)</f>
        <v>0</v>
      </c>
      <c r="AE68" s="174">
        <f ca="1">IFERROR(SUMPRODUCT(UVG_Input_Data!AF50:$AZ50,OFFSET(Inputparam!$C$34:$AZ$34,0,0,1,49-UVG_Calculations!AE$56)), 0)</f>
        <v>0</v>
      </c>
      <c r="AF68" s="174">
        <f ca="1">IFERROR(SUMPRODUCT(UVG_Input_Data!AG50:$AZ50,OFFSET(Inputparam!$C$34:$AZ$34,0,0,1,49-UVG_Calculations!AF$56)), 0)</f>
        <v>0</v>
      </c>
      <c r="AG68" s="174">
        <f ca="1">IFERROR(SUMPRODUCT(UVG_Input_Data!AH50:$AZ50,OFFSET(Inputparam!$C$34:$AZ$34,0,0,1,49-UVG_Calculations!AG$56)), 0)</f>
        <v>0</v>
      </c>
      <c r="AH68" s="174">
        <f ca="1">IFERROR(SUMPRODUCT(UVG_Input_Data!AI50:$AZ50,OFFSET(Inputparam!$C$34:$AZ$34,0,0,1,49-UVG_Calculations!AH$56)), 0)</f>
        <v>0</v>
      </c>
      <c r="AI68" s="174">
        <f ca="1">IFERROR(SUMPRODUCT(UVG_Input_Data!AJ50:$AZ50,OFFSET(Inputparam!$C$34:$AZ$34,0,0,1,49-UVG_Calculations!AI$56)), 0)</f>
        <v>0</v>
      </c>
      <c r="AJ68" s="174">
        <f ca="1">IFERROR(SUMPRODUCT(UVG_Input_Data!AK50:$AZ50,OFFSET(Inputparam!$C$34:$AZ$34,0,0,1,49-UVG_Calculations!AJ$56)), 0)</f>
        <v>0</v>
      </c>
      <c r="AK68" s="174">
        <f ca="1">IFERROR(SUMPRODUCT(UVG_Input_Data!AL50:$AZ50,OFFSET(Inputparam!$C$34:$AZ$34,0,0,1,49-UVG_Calculations!AK$56)), 0)</f>
        <v>0</v>
      </c>
      <c r="AL68" s="174">
        <f ca="1">IFERROR(SUMPRODUCT(UVG_Input_Data!AM50:$AZ50,OFFSET(Inputparam!$C$34:$AZ$34,0,0,1,49-UVG_Calculations!AL$56)), 0)</f>
        <v>0</v>
      </c>
      <c r="AM68" s="174">
        <f ca="1">IFERROR(SUMPRODUCT(UVG_Input_Data!AN50:$AZ50,OFFSET(Inputparam!$C$34:$AZ$34,0,0,1,49-UVG_Calculations!AM$56)), 0)</f>
        <v>0</v>
      </c>
      <c r="AN68" s="174">
        <f ca="1">IFERROR(SUMPRODUCT(UVG_Input_Data!AO50:$AZ50,OFFSET(Inputparam!$C$34:$AZ$34,0,0,1,49-UVG_Calculations!AN$56)), 0)</f>
        <v>0</v>
      </c>
      <c r="AO68" s="174">
        <f ca="1">IFERROR(SUMPRODUCT(UVG_Input_Data!AP50:$AZ50,OFFSET(Inputparam!$C$34:$AZ$34,0,0,1,49-UVG_Calculations!AO$56)), 0)</f>
        <v>0</v>
      </c>
      <c r="AP68" s="174">
        <f ca="1">IFERROR(SUMPRODUCT(UVG_Input_Data!AQ50:$AZ50,OFFSET(Inputparam!$C$34:$AZ$34,0,0,1,49-UVG_Calculations!AP$56)), 0)</f>
        <v>0</v>
      </c>
      <c r="AQ68" s="174">
        <f ca="1">IFERROR(SUMPRODUCT(UVG_Input_Data!AR50:$AZ50,OFFSET(Inputparam!$C$34:$AZ$34,0,0,1,49-UVG_Calculations!AQ$56)), 0)</f>
        <v>0</v>
      </c>
      <c r="AR68" s="174">
        <f ca="1">IFERROR(SUMPRODUCT(UVG_Input_Data!AS50:$AZ50,OFFSET(Inputparam!$C$34:$AZ$34,0,0,1,49-UVG_Calculations!AR$56)), 0)</f>
        <v>0</v>
      </c>
      <c r="AS68" s="174">
        <f ca="1">IFERROR(SUMPRODUCT(UVG_Input_Data!AT50:$AZ50,OFFSET(Inputparam!$C$34:$AZ$34,0,0,1,49-UVG_Calculations!AS$56)), 0)</f>
        <v>0</v>
      </c>
      <c r="AT68" s="174">
        <f ca="1">IFERROR(SUMPRODUCT(UVG_Input_Data!AU50:$AZ50,OFFSET(Inputparam!$C$34:$AZ$34,0,0,1,49-UVG_Calculations!AT$56)), 0)</f>
        <v>0</v>
      </c>
      <c r="AU68" s="174">
        <f ca="1">IFERROR(SUMPRODUCT(UVG_Input_Data!AV50:$AZ50,OFFSET(Inputparam!$C$34:$AZ$34,0,0,1,49-UVG_Calculations!AU$56)), 0)</f>
        <v>0</v>
      </c>
      <c r="AV68" s="174">
        <f ca="1">IFERROR(SUMPRODUCT(UVG_Input_Data!AW50:$AZ50,OFFSET(Inputparam!$C$34:$AZ$34,0,0,1,49-UVG_Calculations!AV$56)), 0)</f>
        <v>0</v>
      </c>
      <c r="AW68" s="174">
        <f ca="1">IFERROR(SUMPRODUCT(UVG_Input_Data!AX50:$AZ50,OFFSET(Inputparam!$C$34:$AZ$34,0,0,1,49-UVG_Calculations!AW$56)), 0)</f>
        <v>0</v>
      </c>
      <c r="AX68" s="174">
        <f ca="1">IFERROR(SUMPRODUCT(UVG_Input_Data!AY50:$AZ50,OFFSET(Inputparam!$C$34:$AZ$34,0,0,1,49-UVG_Calculations!AX$56)), 0)</f>
        <v>0</v>
      </c>
      <c r="AY68" s="174">
        <f ca="1">IFERROR(SUMPRODUCT(UVG_Input_Data!AZ50:$AZ50,OFFSET(Inputparam!$C$34:$AZ$34,0,0,1,49-UVG_Calculations!AY$56)), 0)</f>
        <v>0</v>
      </c>
      <c r="AZ68" s="174">
        <f ca="1">IFERROR(SUMPRODUCT(UVG_Input_Data!$AZ50:BA50,OFFSET(Inputparam!$C$34:$AZ$34,0,0,1,49-UVG_Calculations!AZ$56)), 0)</f>
        <v>0</v>
      </c>
    </row>
    <row r="69" spans="2:52">
      <c r="B69" s="172" t="s">
        <v>569</v>
      </c>
      <c r="C69" s="171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174">
        <f ca="1">IFERROR(SUMPRODUCT(UVG_Input_Data!O51:$AZ51,OFFSET(Inputparam!$C$34:$AZ$34,0,0,1,49-UVG_Calculations!N$56)), 0)</f>
        <v>0</v>
      </c>
      <c r="O69" s="174">
        <f ca="1">IFERROR(SUMPRODUCT(UVG_Input_Data!P51:$AZ51,OFFSET(Inputparam!$C$34:$AZ$34,0,0,1,49-UVG_Calculations!O$56)), 0)</f>
        <v>0</v>
      </c>
      <c r="P69" s="174">
        <f ca="1">IFERROR(SUMPRODUCT(UVG_Input_Data!Q51:$AZ51,OFFSET(Inputparam!$C$34:$AZ$34,0,0,1,49-UVG_Calculations!P$56)), 0)</f>
        <v>0</v>
      </c>
      <c r="Q69" s="174">
        <f ca="1">IFERROR(SUMPRODUCT(UVG_Input_Data!R51:$AZ51,OFFSET(Inputparam!$C$34:$AZ$34,0,0,1,49-UVG_Calculations!Q$56)), 0)</f>
        <v>0</v>
      </c>
      <c r="R69" s="174">
        <f ca="1">IFERROR(SUMPRODUCT(UVG_Input_Data!S51:$AZ51,OFFSET(Inputparam!$C$34:$AZ$34,0,0,1,49-UVG_Calculations!R$56)), 0)</f>
        <v>0</v>
      </c>
      <c r="S69" s="174">
        <f ca="1">IFERROR(SUMPRODUCT(UVG_Input_Data!T51:$AZ51,OFFSET(Inputparam!$C$34:$AZ$34,0,0,1,49-UVG_Calculations!S$56)), 0)</f>
        <v>0</v>
      </c>
      <c r="T69" s="174">
        <f ca="1">IFERROR(SUMPRODUCT(UVG_Input_Data!U51:$AZ51,OFFSET(Inputparam!$C$34:$AZ$34,0,0,1,49-UVG_Calculations!T$56)), 0)</f>
        <v>0</v>
      </c>
      <c r="U69" s="174">
        <f ca="1">IFERROR(SUMPRODUCT(UVG_Input_Data!V51:$AZ51,OFFSET(Inputparam!$C$34:$AZ$34,0,0,1,49-UVG_Calculations!U$56)), 0)</f>
        <v>0</v>
      </c>
      <c r="V69" s="174">
        <f ca="1">IFERROR(SUMPRODUCT(UVG_Input_Data!W51:$AZ51,OFFSET(Inputparam!$C$34:$AZ$34,0,0,1,49-UVG_Calculations!V$56)), 0)</f>
        <v>0</v>
      </c>
      <c r="W69" s="174">
        <f ca="1">IFERROR(SUMPRODUCT(UVG_Input_Data!X51:$AZ51,OFFSET(Inputparam!$C$34:$AZ$34,0,0,1,49-UVG_Calculations!W$56)), 0)</f>
        <v>0</v>
      </c>
      <c r="X69" s="174">
        <f ca="1">IFERROR(SUMPRODUCT(UVG_Input_Data!Y51:$AZ51,OFFSET(Inputparam!$C$34:$AZ$34,0,0,1,49-UVG_Calculations!X$56)), 0)</f>
        <v>0</v>
      </c>
      <c r="Y69" s="174">
        <f ca="1">IFERROR(SUMPRODUCT(UVG_Input_Data!Z51:$AZ51,OFFSET(Inputparam!$C$34:$AZ$34,0,0,1,49-UVG_Calculations!Y$56)), 0)</f>
        <v>0</v>
      </c>
      <c r="Z69" s="174">
        <f ca="1">IFERROR(SUMPRODUCT(UVG_Input_Data!AA51:$AZ51,OFFSET(Inputparam!$C$34:$AZ$34,0,0,1,49-UVG_Calculations!Z$56)), 0)</f>
        <v>0</v>
      </c>
      <c r="AA69" s="174">
        <f ca="1">IFERROR(SUMPRODUCT(UVG_Input_Data!AB51:$AZ51,OFFSET(Inputparam!$C$34:$AZ$34,0,0,1,49-UVG_Calculations!AA$56)), 0)</f>
        <v>0</v>
      </c>
      <c r="AB69" s="174">
        <f ca="1">IFERROR(SUMPRODUCT(UVG_Input_Data!AC51:$AZ51,OFFSET(Inputparam!$C$34:$AZ$34,0,0,1,49-UVG_Calculations!AB$56)), 0)</f>
        <v>0</v>
      </c>
      <c r="AC69" s="174">
        <f ca="1">IFERROR(SUMPRODUCT(UVG_Input_Data!AD51:$AZ51,OFFSET(Inputparam!$C$34:$AZ$34,0,0,1,49-UVG_Calculations!AC$56)), 0)</f>
        <v>0</v>
      </c>
      <c r="AD69" s="174">
        <f ca="1">IFERROR(SUMPRODUCT(UVG_Input_Data!AE51:$AZ51,OFFSET(Inputparam!$C$34:$AZ$34,0,0,1,49-UVG_Calculations!AD$56)), 0)</f>
        <v>0</v>
      </c>
      <c r="AE69" s="174">
        <f ca="1">IFERROR(SUMPRODUCT(UVG_Input_Data!AF51:$AZ51,OFFSET(Inputparam!$C$34:$AZ$34,0,0,1,49-UVG_Calculations!AE$56)), 0)</f>
        <v>0</v>
      </c>
      <c r="AF69" s="174">
        <f ca="1">IFERROR(SUMPRODUCT(UVG_Input_Data!AG51:$AZ51,OFFSET(Inputparam!$C$34:$AZ$34,0,0,1,49-UVG_Calculations!AF$56)), 0)</f>
        <v>0</v>
      </c>
      <c r="AG69" s="174">
        <f ca="1">IFERROR(SUMPRODUCT(UVG_Input_Data!AH51:$AZ51,OFFSET(Inputparam!$C$34:$AZ$34,0,0,1,49-UVG_Calculations!AG$56)), 0)</f>
        <v>0</v>
      </c>
      <c r="AH69" s="174">
        <f ca="1">IFERROR(SUMPRODUCT(UVG_Input_Data!AI51:$AZ51,OFFSET(Inputparam!$C$34:$AZ$34,0,0,1,49-UVG_Calculations!AH$56)), 0)</f>
        <v>0</v>
      </c>
      <c r="AI69" s="174">
        <f ca="1">IFERROR(SUMPRODUCT(UVG_Input_Data!AJ51:$AZ51,OFFSET(Inputparam!$C$34:$AZ$34,0,0,1,49-UVG_Calculations!AI$56)), 0)</f>
        <v>0</v>
      </c>
      <c r="AJ69" s="174">
        <f ca="1">IFERROR(SUMPRODUCT(UVG_Input_Data!AK51:$AZ51,OFFSET(Inputparam!$C$34:$AZ$34,0,0,1,49-UVG_Calculations!AJ$56)), 0)</f>
        <v>0</v>
      </c>
      <c r="AK69" s="174">
        <f ca="1">IFERROR(SUMPRODUCT(UVG_Input_Data!AL51:$AZ51,OFFSET(Inputparam!$C$34:$AZ$34,0,0,1,49-UVG_Calculations!AK$56)), 0)</f>
        <v>0</v>
      </c>
      <c r="AL69" s="174">
        <f ca="1">IFERROR(SUMPRODUCT(UVG_Input_Data!AM51:$AZ51,OFFSET(Inputparam!$C$34:$AZ$34,0,0,1,49-UVG_Calculations!AL$56)), 0)</f>
        <v>0</v>
      </c>
      <c r="AM69" s="174">
        <f ca="1">IFERROR(SUMPRODUCT(UVG_Input_Data!AN51:$AZ51,OFFSET(Inputparam!$C$34:$AZ$34,0,0,1,49-UVG_Calculations!AM$56)), 0)</f>
        <v>0</v>
      </c>
      <c r="AN69" s="174">
        <f ca="1">IFERROR(SUMPRODUCT(UVG_Input_Data!AO51:$AZ51,OFFSET(Inputparam!$C$34:$AZ$34,0,0,1,49-UVG_Calculations!AN$56)), 0)</f>
        <v>0</v>
      </c>
      <c r="AO69" s="174">
        <f ca="1">IFERROR(SUMPRODUCT(UVG_Input_Data!AP51:$AZ51,OFFSET(Inputparam!$C$34:$AZ$34,0,0,1,49-UVG_Calculations!AO$56)), 0)</f>
        <v>0</v>
      </c>
      <c r="AP69" s="174">
        <f ca="1">IFERROR(SUMPRODUCT(UVG_Input_Data!AQ51:$AZ51,OFFSET(Inputparam!$C$34:$AZ$34,0,0,1,49-UVG_Calculations!AP$56)), 0)</f>
        <v>0</v>
      </c>
      <c r="AQ69" s="174">
        <f ca="1">IFERROR(SUMPRODUCT(UVG_Input_Data!AR51:$AZ51,OFFSET(Inputparam!$C$34:$AZ$34,0,0,1,49-UVG_Calculations!AQ$56)), 0)</f>
        <v>0</v>
      </c>
      <c r="AR69" s="174">
        <f ca="1">IFERROR(SUMPRODUCT(UVG_Input_Data!AS51:$AZ51,OFFSET(Inputparam!$C$34:$AZ$34,0,0,1,49-UVG_Calculations!AR$56)), 0)</f>
        <v>0</v>
      </c>
      <c r="AS69" s="174">
        <f ca="1">IFERROR(SUMPRODUCT(UVG_Input_Data!AT51:$AZ51,OFFSET(Inputparam!$C$34:$AZ$34,0,0,1,49-UVG_Calculations!AS$56)), 0)</f>
        <v>0</v>
      </c>
      <c r="AT69" s="174">
        <f ca="1">IFERROR(SUMPRODUCT(UVG_Input_Data!AU51:$AZ51,OFFSET(Inputparam!$C$34:$AZ$34,0,0,1,49-UVG_Calculations!AT$56)), 0)</f>
        <v>0</v>
      </c>
      <c r="AU69" s="174">
        <f ca="1">IFERROR(SUMPRODUCT(UVG_Input_Data!AV51:$AZ51,OFFSET(Inputparam!$C$34:$AZ$34,0,0,1,49-UVG_Calculations!AU$56)), 0)</f>
        <v>0</v>
      </c>
      <c r="AV69" s="174">
        <f ca="1">IFERROR(SUMPRODUCT(UVG_Input_Data!AW51:$AZ51,OFFSET(Inputparam!$C$34:$AZ$34,0,0,1,49-UVG_Calculations!AV$56)), 0)</f>
        <v>0</v>
      </c>
      <c r="AW69" s="174">
        <f ca="1">IFERROR(SUMPRODUCT(UVG_Input_Data!AX51:$AZ51,OFFSET(Inputparam!$C$34:$AZ$34,0,0,1,49-UVG_Calculations!AW$56)), 0)</f>
        <v>0</v>
      </c>
      <c r="AX69" s="174">
        <f ca="1">IFERROR(SUMPRODUCT(UVG_Input_Data!AY51:$AZ51,OFFSET(Inputparam!$C$34:$AZ$34,0,0,1,49-UVG_Calculations!AX$56)), 0)</f>
        <v>0</v>
      </c>
      <c r="AY69" s="174">
        <f ca="1">IFERROR(SUMPRODUCT(UVG_Input_Data!AZ51:$AZ51,OFFSET(Inputparam!$C$34:$AZ$34,0,0,1,49-UVG_Calculations!AY$56)), 0)</f>
        <v>0</v>
      </c>
      <c r="AZ69" s="174">
        <f ca="1">IFERROR(SUMPRODUCT(UVG_Input_Data!$AZ51:BA51,OFFSET(Inputparam!$C$34:$AZ$34,0,0,1,49-UVG_Calculations!AZ$56)), 0)</f>
        <v>0</v>
      </c>
    </row>
    <row r="70" spans="2:52">
      <c r="B70" s="172" t="s">
        <v>570</v>
      </c>
      <c r="C70" s="171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174">
        <f ca="1">IFERROR(SUMPRODUCT(UVG_Input_Data!P52:$AZ52,OFFSET(Inputparam!$C$34:$AZ$34,0,0,1,49-UVG_Calculations!O$56)), 0)</f>
        <v>0</v>
      </c>
      <c r="P70" s="174">
        <f ca="1">IFERROR(SUMPRODUCT(UVG_Input_Data!Q52:$AZ52,OFFSET(Inputparam!$C$34:$AZ$34,0,0,1,49-UVG_Calculations!P$56)), 0)</f>
        <v>0</v>
      </c>
      <c r="Q70" s="174">
        <f ca="1">IFERROR(SUMPRODUCT(UVG_Input_Data!R52:$AZ52,OFFSET(Inputparam!$C$34:$AZ$34,0,0,1,49-UVG_Calculations!Q$56)), 0)</f>
        <v>0</v>
      </c>
      <c r="R70" s="174">
        <f ca="1">IFERROR(SUMPRODUCT(UVG_Input_Data!S52:$AZ52,OFFSET(Inputparam!$C$34:$AZ$34,0,0,1,49-UVG_Calculations!R$56)), 0)</f>
        <v>0</v>
      </c>
      <c r="S70" s="174">
        <f ca="1">IFERROR(SUMPRODUCT(UVG_Input_Data!T52:$AZ52,OFFSET(Inputparam!$C$34:$AZ$34,0,0,1,49-UVG_Calculations!S$56)), 0)</f>
        <v>0</v>
      </c>
      <c r="T70" s="174">
        <f ca="1">IFERROR(SUMPRODUCT(UVG_Input_Data!U52:$AZ52,OFFSET(Inputparam!$C$34:$AZ$34,0,0,1,49-UVG_Calculations!T$56)), 0)</f>
        <v>0</v>
      </c>
      <c r="U70" s="174">
        <f ca="1">IFERROR(SUMPRODUCT(UVG_Input_Data!V52:$AZ52,OFFSET(Inputparam!$C$34:$AZ$34,0,0,1,49-UVG_Calculations!U$56)), 0)</f>
        <v>0</v>
      </c>
      <c r="V70" s="174">
        <f ca="1">IFERROR(SUMPRODUCT(UVG_Input_Data!W52:$AZ52,OFFSET(Inputparam!$C$34:$AZ$34,0,0,1,49-UVG_Calculations!V$56)), 0)</f>
        <v>0</v>
      </c>
      <c r="W70" s="174">
        <f ca="1">IFERROR(SUMPRODUCT(UVG_Input_Data!X52:$AZ52,OFFSET(Inputparam!$C$34:$AZ$34,0,0,1,49-UVG_Calculations!W$56)), 0)</f>
        <v>0</v>
      </c>
      <c r="X70" s="174">
        <f ca="1">IFERROR(SUMPRODUCT(UVG_Input_Data!Y52:$AZ52,OFFSET(Inputparam!$C$34:$AZ$34,0,0,1,49-UVG_Calculations!X$56)), 0)</f>
        <v>0</v>
      </c>
      <c r="Y70" s="174">
        <f ca="1">IFERROR(SUMPRODUCT(UVG_Input_Data!Z52:$AZ52,OFFSET(Inputparam!$C$34:$AZ$34,0,0,1,49-UVG_Calculations!Y$56)), 0)</f>
        <v>0</v>
      </c>
      <c r="Z70" s="174">
        <f ca="1">IFERROR(SUMPRODUCT(UVG_Input_Data!AA52:$AZ52,OFFSET(Inputparam!$C$34:$AZ$34,0,0,1,49-UVG_Calculations!Z$56)), 0)</f>
        <v>0</v>
      </c>
      <c r="AA70" s="174">
        <f ca="1">IFERROR(SUMPRODUCT(UVG_Input_Data!AB52:$AZ52,OFFSET(Inputparam!$C$34:$AZ$34,0,0,1,49-UVG_Calculations!AA$56)), 0)</f>
        <v>0</v>
      </c>
      <c r="AB70" s="174">
        <f ca="1">IFERROR(SUMPRODUCT(UVG_Input_Data!AC52:$AZ52,OFFSET(Inputparam!$C$34:$AZ$34,0,0,1,49-UVG_Calculations!AB$56)), 0)</f>
        <v>0</v>
      </c>
      <c r="AC70" s="174">
        <f ca="1">IFERROR(SUMPRODUCT(UVG_Input_Data!AD52:$AZ52,OFFSET(Inputparam!$C$34:$AZ$34,0,0,1,49-UVG_Calculations!AC$56)), 0)</f>
        <v>0</v>
      </c>
      <c r="AD70" s="174">
        <f ca="1">IFERROR(SUMPRODUCT(UVG_Input_Data!AE52:$AZ52,OFFSET(Inputparam!$C$34:$AZ$34,0,0,1,49-UVG_Calculations!AD$56)), 0)</f>
        <v>0</v>
      </c>
      <c r="AE70" s="174">
        <f ca="1">IFERROR(SUMPRODUCT(UVG_Input_Data!AF52:$AZ52,OFFSET(Inputparam!$C$34:$AZ$34,0,0,1,49-UVG_Calculations!AE$56)), 0)</f>
        <v>0</v>
      </c>
      <c r="AF70" s="174">
        <f ca="1">IFERROR(SUMPRODUCT(UVG_Input_Data!AG52:$AZ52,OFFSET(Inputparam!$C$34:$AZ$34,0,0,1,49-UVG_Calculations!AF$56)), 0)</f>
        <v>0</v>
      </c>
      <c r="AG70" s="174">
        <f ca="1">IFERROR(SUMPRODUCT(UVG_Input_Data!AH52:$AZ52,OFFSET(Inputparam!$C$34:$AZ$34,0,0,1,49-UVG_Calculations!AG$56)), 0)</f>
        <v>0</v>
      </c>
      <c r="AH70" s="174">
        <f ca="1">IFERROR(SUMPRODUCT(UVG_Input_Data!AI52:$AZ52,OFFSET(Inputparam!$C$34:$AZ$34,0,0,1,49-UVG_Calculations!AH$56)), 0)</f>
        <v>0</v>
      </c>
      <c r="AI70" s="174">
        <f ca="1">IFERROR(SUMPRODUCT(UVG_Input_Data!AJ52:$AZ52,OFFSET(Inputparam!$C$34:$AZ$34,0,0,1,49-UVG_Calculations!AI$56)), 0)</f>
        <v>0</v>
      </c>
      <c r="AJ70" s="174">
        <f ca="1">IFERROR(SUMPRODUCT(UVG_Input_Data!AK52:$AZ52,OFFSET(Inputparam!$C$34:$AZ$34,0,0,1,49-UVG_Calculations!AJ$56)), 0)</f>
        <v>0</v>
      </c>
      <c r="AK70" s="174">
        <f ca="1">IFERROR(SUMPRODUCT(UVG_Input_Data!AL52:$AZ52,OFFSET(Inputparam!$C$34:$AZ$34,0,0,1,49-UVG_Calculations!AK$56)), 0)</f>
        <v>0</v>
      </c>
      <c r="AL70" s="174">
        <f ca="1">IFERROR(SUMPRODUCT(UVG_Input_Data!AM52:$AZ52,OFFSET(Inputparam!$C$34:$AZ$34,0,0,1,49-UVG_Calculations!AL$56)), 0)</f>
        <v>0</v>
      </c>
      <c r="AM70" s="174">
        <f ca="1">IFERROR(SUMPRODUCT(UVG_Input_Data!AN52:$AZ52,OFFSET(Inputparam!$C$34:$AZ$34,0,0,1,49-UVG_Calculations!AM$56)), 0)</f>
        <v>0</v>
      </c>
      <c r="AN70" s="174">
        <f ca="1">IFERROR(SUMPRODUCT(UVG_Input_Data!AO52:$AZ52,OFFSET(Inputparam!$C$34:$AZ$34,0,0,1,49-UVG_Calculations!AN$56)), 0)</f>
        <v>0</v>
      </c>
      <c r="AO70" s="174">
        <f ca="1">IFERROR(SUMPRODUCT(UVG_Input_Data!AP52:$AZ52,OFFSET(Inputparam!$C$34:$AZ$34,0,0,1,49-UVG_Calculations!AO$56)), 0)</f>
        <v>0</v>
      </c>
      <c r="AP70" s="174">
        <f ca="1">IFERROR(SUMPRODUCT(UVG_Input_Data!AQ52:$AZ52,OFFSET(Inputparam!$C$34:$AZ$34,0,0,1,49-UVG_Calculations!AP$56)), 0)</f>
        <v>0</v>
      </c>
      <c r="AQ70" s="174">
        <f ca="1">IFERROR(SUMPRODUCT(UVG_Input_Data!AR52:$AZ52,OFFSET(Inputparam!$C$34:$AZ$34,0,0,1,49-UVG_Calculations!AQ$56)), 0)</f>
        <v>0</v>
      </c>
      <c r="AR70" s="174">
        <f ca="1">IFERROR(SUMPRODUCT(UVG_Input_Data!AS52:$AZ52,OFFSET(Inputparam!$C$34:$AZ$34,0,0,1,49-UVG_Calculations!AR$56)), 0)</f>
        <v>0</v>
      </c>
      <c r="AS70" s="174">
        <f ca="1">IFERROR(SUMPRODUCT(UVG_Input_Data!AT52:$AZ52,OFFSET(Inputparam!$C$34:$AZ$34,0,0,1,49-UVG_Calculations!AS$56)), 0)</f>
        <v>0</v>
      </c>
      <c r="AT70" s="174">
        <f ca="1">IFERROR(SUMPRODUCT(UVG_Input_Data!AU52:$AZ52,OFFSET(Inputparam!$C$34:$AZ$34,0,0,1,49-UVG_Calculations!AT$56)), 0)</f>
        <v>0</v>
      </c>
      <c r="AU70" s="174">
        <f ca="1">IFERROR(SUMPRODUCT(UVG_Input_Data!AV52:$AZ52,OFFSET(Inputparam!$C$34:$AZ$34,0,0,1,49-UVG_Calculations!AU$56)), 0)</f>
        <v>0</v>
      </c>
      <c r="AV70" s="174">
        <f ca="1">IFERROR(SUMPRODUCT(UVG_Input_Data!AW52:$AZ52,OFFSET(Inputparam!$C$34:$AZ$34,0,0,1,49-UVG_Calculations!AV$56)), 0)</f>
        <v>0</v>
      </c>
      <c r="AW70" s="174">
        <f ca="1">IFERROR(SUMPRODUCT(UVG_Input_Data!AX52:$AZ52,OFFSET(Inputparam!$C$34:$AZ$34,0,0,1,49-UVG_Calculations!AW$56)), 0)</f>
        <v>0</v>
      </c>
      <c r="AX70" s="174">
        <f ca="1">IFERROR(SUMPRODUCT(UVG_Input_Data!AY52:$AZ52,OFFSET(Inputparam!$C$34:$AZ$34,0,0,1,49-UVG_Calculations!AX$56)), 0)</f>
        <v>0</v>
      </c>
      <c r="AY70" s="174">
        <f ca="1">IFERROR(SUMPRODUCT(UVG_Input_Data!AZ52:$AZ52,OFFSET(Inputparam!$C$34:$AZ$34,0,0,1,49-UVG_Calculations!AY$56)), 0)</f>
        <v>0</v>
      </c>
      <c r="AZ70" s="174">
        <f ca="1">IFERROR(SUMPRODUCT(UVG_Input_Data!$AZ52:BA52,OFFSET(Inputparam!$C$34:$AZ$34,0,0,1,49-UVG_Calculations!AZ$56)), 0)</f>
        <v>0</v>
      </c>
    </row>
    <row r="71" spans="2:52">
      <c r="B71" s="172" t="s">
        <v>571</v>
      </c>
      <c r="C71" s="171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174">
        <f ca="1">IFERROR(SUMPRODUCT(UVG_Input_Data!Q53:$AZ53,OFFSET(Inputparam!$C$34:$AZ$34,0,0,1,49-UVG_Calculations!P$56)), 0)</f>
        <v>0</v>
      </c>
      <c r="Q71" s="174">
        <f ca="1">IFERROR(SUMPRODUCT(UVG_Input_Data!R53:$AZ53,OFFSET(Inputparam!$C$34:$AZ$34,0,0,1,49-UVG_Calculations!Q$56)), 0)</f>
        <v>0</v>
      </c>
      <c r="R71" s="174">
        <f ca="1">IFERROR(SUMPRODUCT(UVG_Input_Data!S53:$AZ53,OFFSET(Inputparam!$C$34:$AZ$34,0,0,1,49-UVG_Calculations!R$56)), 0)</f>
        <v>0</v>
      </c>
      <c r="S71" s="174">
        <f ca="1">IFERROR(SUMPRODUCT(UVG_Input_Data!T53:$AZ53,OFFSET(Inputparam!$C$34:$AZ$34,0,0,1,49-UVG_Calculations!S$56)), 0)</f>
        <v>0</v>
      </c>
      <c r="T71" s="174">
        <f ca="1">IFERROR(SUMPRODUCT(UVG_Input_Data!U53:$AZ53,OFFSET(Inputparam!$C$34:$AZ$34,0,0,1,49-UVG_Calculations!T$56)), 0)</f>
        <v>0</v>
      </c>
      <c r="U71" s="174">
        <f ca="1">IFERROR(SUMPRODUCT(UVG_Input_Data!V53:$AZ53,OFFSET(Inputparam!$C$34:$AZ$34,0,0,1,49-UVG_Calculations!U$56)), 0)</f>
        <v>0</v>
      </c>
      <c r="V71" s="174">
        <f ca="1">IFERROR(SUMPRODUCT(UVG_Input_Data!W53:$AZ53,OFFSET(Inputparam!$C$34:$AZ$34,0,0,1,49-UVG_Calculations!V$56)), 0)</f>
        <v>0</v>
      </c>
      <c r="W71" s="174">
        <f ca="1">IFERROR(SUMPRODUCT(UVG_Input_Data!X53:$AZ53,OFFSET(Inputparam!$C$34:$AZ$34,0,0,1,49-UVG_Calculations!W$56)), 0)</f>
        <v>0</v>
      </c>
      <c r="X71" s="174">
        <f ca="1">IFERROR(SUMPRODUCT(UVG_Input_Data!Y53:$AZ53,OFFSET(Inputparam!$C$34:$AZ$34,0,0,1,49-UVG_Calculations!X$56)), 0)</f>
        <v>0</v>
      </c>
      <c r="Y71" s="174">
        <f ca="1">IFERROR(SUMPRODUCT(UVG_Input_Data!Z53:$AZ53,OFFSET(Inputparam!$C$34:$AZ$34,0,0,1,49-UVG_Calculations!Y$56)), 0)</f>
        <v>0</v>
      </c>
      <c r="Z71" s="174">
        <f ca="1">IFERROR(SUMPRODUCT(UVG_Input_Data!AA53:$AZ53,OFFSET(Inputparam!$C$34:$AZ$34,0,0,1,49-UVG_Calculations!Z$56)), 0)</f>
        <v>0</v>
      </c>
      <c r="AA71" s="174">
        <f ca="1">IFERROR(SUMPRODUCT(UVG_Input_Data!AB53:$AZ53,OFFSET(Inputparam!$C$34:$AZ$34,0,0,1,49-UVG_Calculations!AA$56)), 0)</f>
        <v>0</v>
      </c>
      <c r="AB71" s="174">
        <f ca="1">IFERROR(SUMPRODUCT(UVG_Input_Data!AC53:$AZ53,OFFSET(Inputparam!$C$34:$AZ$34,0,0,1,49-UVG_Calculations!AB$56)), 0)</f>
        <v>0</v>
      </c>
      <c r="AC71" s="174">
        <f ca="1">IFERROR(SUMPRODUCT(UVG_Input_Data!AD53:$AZ53,OFFSET(Inputparam!$C$34:$AZ$34,0,0,1,49-UVG_Calculations!AC$56)), 0)</f>
        <v>0</v>
      </c>
      <c r="AD71" s="174">
        <f ca="1">IFERROR(SUMPRODUCT(UVG_Input_Data!AE53:$AZ53,OFFSET(Inputparam!$C$34:$AZ$34,0,0,1,49-UVG_Calculations!AD$56)), 0)</f>
        <v>0</v>
      </c>
      <c r="AE71" s="174">
        <f ca="1">IFERROR(SUMPRODUCT(UVG_Input_Data!AF53:$AZ53,OFFSET(Inputparam!$C$34:$AZ$34,0,0,1,49-UVG_Calculations!AE$56)), 0)</f>
        <v>0</v>
      </c>
      <c r="AF71" s="174">
        <f ca="1">IFERROR(SUMPRODUCT(UVG_Input_Data!AG53:$AZ53,OFFSET(Inputparam!$C$34:$AZ$34,0,0,1,49-UVG_Calculations!AF$56)), 0)</f>
        <v>0</v>
      </c>
      <c r="AG71" s="174">
        <f ca="1">IFERROR(SUMPRODUCT(UVG_Input_Data!AH53:$AZ53,OFFSET(Inputparam!$C$34:$AZ$34,0,0,1,49-UVG_Calculations!AG$56)), 0)</f>
        <v>0</v>
      </c>
      <c r="AH71" s="174">
        <f ca="1">IFERROR(SUMPRODUCT(UVG_Input_Data!AI53:$AZ53,OFFSET(Inputparam!$C$34:$AZ$34,0,0,1,49-UVG_Calculations!AH$56)), 0)</f>
        <v>0</v>
      </c>
      <c r="AI71" s="174">
        <f ca="1">IFERROR(SUMPRODUCT(UVG_Input_Data!AJ53:$AZ53,OFFSET(Inputparam!$C$34:$AZ$34,0,0,1,49-UVG_Calculations!AI$56)), 0)</f>
        <v>0</v>
      </c>
      <c r="AJ71" s="174">
        <f ca="1">IFERROR(SUMPRODUCT(UVG_Input_Data!AK53:$AZ53,OFFSET(Inputparam!$C$34:$AZ$34,0,0,1,49-UVG_Calculations!AJ$56)), 0)</f>
        <v>0</v>
      </c>
      <c r="AK71" s="174">
        <f ca="1">IFERROR(SUMPRODUCT(UVG_Input_Data!AL53:$AZ53,OFFSET(Inputparam!$C$34:$AZ$34,0,0,1,49-UVG_Calculations!AK$56)), 0)</f>
        <v>0</v>
      </c>
      <c r="AL71" s="174">
        <f ca="1">IFERROR(SUMPRODUCT(UVG_Input_Data!AM53:$AZ53,OFFSET(Inputparam!$C$34:$AZ$34,0,0,1,49-UVG_Calculations!AL$56)), 0)</f>
        <v>0</v>
      </c>
      <c r="AM71" s="174">
        <f ca="1">IFERROR(SUMPRODUCT(UVG_Input_Data!AN53:$AZ53,OFFSET(Inputparam!$C$34:$AZ$34,0,0,1,49-UVG_Calculations!AM$56)), 0)</f>
        <v>0</v>
      </c>
      <c r="AN71" s="174">
        <f ca="1">IFERROR(SUMPRODUCT(UVG_Input_Data!AO53:$AZ53,OFFSET(Inputparam!$C$34:$AZ$34,0,0,1,49-UVG_Calculations!AN$56)), 0)</f>
        <v>0</v>
      </c>
      <c r="AO71" s="174">
        <f ca="1">IFERROR(SUMPRODUCT(UVG_Input_Data!AP53:$AZ53,OFFSET(Inputparam!$C$34:$AZ$34,0,0,1,49-UVG_Calculations!AO$56)), 0)</f>
        <v>0</v>
      </c>
      <c r="AP71" s="174">
        <f ca="1">IFERROR(SUMPRODUCT(UVG_Input_Data!AQ53:$AZ53,OFFSET(Inputparam!$C$34:$AZ$34,0,0,1,49-UVG_Calculations!AP$56)), 0)</f>
        <v>0</v>
      </c>
      <c r="AQ71" s="174">
        <f ca="1">IFERROR(SUMPRODUCT(UVG_Input_Data!AR53:$AZ53,OFFSET(Inputparam!$C$34:$AZ$34,0,0,1,49-UVG_Calculations!AQ$56)), 0)</f>
        <v>0</v>
      </c>
      <c r="AR71" s="174">
        <f ca="1">IFERROR(SUMPRODUCT(UVG_Input_Data!AS53:$AZ53,OFFSET(Inputparam!$C$34:$AZ$34,0,0,1,49-UVG_Calculations!AR$56)), 0)</f>
        <v>0</v>
      </c>
      <c r="AS71" s="174">
        <f ca="1">IFERROR(SUMPRODUCT(UVG_Input_Data!AT53:$AZ53,OFFSET(Inputparam!$C$34:$AZ$34,0,0,1,49-UVG_Calculations!AS$56)), 0)</f>
        <v>0</v>
      </c>
      <c r="AT71" s="174">
        <f ca="1">IFERROR(SUMPRODUCT(UVG_Input_Data!AU53:$AZ53,OFFSET(Inputparam!$C$34:$AZ$34,0,0,1,49-UVG_Calculations!AT$56)), 0)</f>
        <v>0</v>
      </c>
      <c r="AU71" s="174">
        <f ca="1">IFERROR(SUMPRODUCT(UVG_Input_Data!AV53:$AZ53,OFFSET(Inputparam!$C$34:$AZ$34,0,0,1,49-UVG_Calculations!AU$56)), 0)</f>
        <v>0</v>
      </c>
      <c r="AV71" s="174">
        <f ca="1">IFERROR(SUMPRODUCT(UVG_Input_Data!AW53:$AZ53,OFFSET(Inputparam!$C$34:$AZ$34,0,0,1,49-UVG_Calculations!AV$56)), 0)</f>
        <v>0</v>
      </c>
      <c r="AW71" s="174">
        <f ca="1">IFERROR(SUMPRODUCT(UVG_Input_Data!AX53:$AZ53,OFFSET(Inputparam!$C$34:$AZ$34,0,0,1,49-UVG_Calculations!AW$56)), 0)</f>
        <v>0</v>
      </c>
      <c r="AX71" s="174">
        <f ca="1">IFERROR(SUMPRODUCT(UVG_Input_Data!AY53:$AZ53,OFFSET(Inputparam!$C$34:$AZ$34,0,0,1,49-UVG_Calculations!AX$56)), 0)</f>
        <v>0</v>
      </c>
      <c r="AY71" s="174">
        <f ca="1">IFERROR(SUMPRODUCT(UVG_Input_Data!AZ53:$AZ53,OFFSET(Inputparam!$C$34:$AZ$34,0,0,1,49-UVG_Calculations!AY$56)), 0)</f>
        <v>0</v>
      </c>
      <c r="AZ71" s="174">
        <f ca="1">IFERROR(SUMPRODUCT(UVG_Input_Data!$AZ53:BA53,OFFSET(Inputparam!$C$34:$AZ$34,0,0,1,49-UVG_Calculations!AZ$56)), 0)</f>
        <v>0</v>
      </c>
    </row>
    <row r="72" spans="2:52">
      <c r="B72" s="172" t="s">
        <v>572</v>
      </c>
      <c r="C72" s="171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174">
        <f ca="1">IFERROR(SUMPRODUCT(UVG_Input_Data!R54:$AZ54,OFFSET(Inputparam!$C$34:$AZ$34,0,0,1,49-UVG_Calculations!Q$56)), 0)</f>
        <v>0</v>
      </c>
      <c r="R72" s="174">
        <f ca="1">IFERROR(SUMPRODUCT(UVG_Input_Data!S54:$AZ54,OFFSET(Inputparam!$C$34:$AZ$34,0,0,1,49-UVG_Calculations!R$56)), 0)</f>
        <v>0</v>
      </c>
      <c r="S72" s="174">
        <f ca="1">IFERROR(SUMPRODUCT(UVG_Input_Data!T54:$AZ54,OFFSET(Inputparam!$C$34:$AZ$34,0,0,1,49-UVG_Calculations!S$56)), 0)</f>
        <v>0</v>
      </c>
      <c r="T72" s="174">
        <f ca="1">IFERROR(SUMPRODUCT(UVG_Input_Data!U54:$AZ54,OFFSET(Inputparam!$C$34:$AZ$34,0,0,1,49-UVG_Calculations!T$56)), 0)</f>
        <v>0</v>
      </c>
      <c r="U72" s="174">
        <f ca="1">IFERROR(SUMPRODUCT(UVG_Input_Data!V54:$AZ54,OFFSET(Inputparam!$C$34:$AZ$34,0,0,1,49-UVG_Calculations!U$56)), 0)</f>
        <v>0</v>
      </c>
      <c r="V72" s="174">
        <f ca="1">IFERROR(SUMPRODUCT(UVG_Input_Data!W54:$AZ54,OFFSET(Inputparam!$C$34:$AZ$34,0,0,1,49-UVG_Calculations!V$56)), 0)</f>
        <v>0</v>
      </c>
      <c r="W72" s="174">
        <f ca="1">IFERROR(SUMPRODUCT(UVG_Input_Data!X54:$AZ54,OFFSET(Inputparam!$C$34:$AZ$34,0,0,1,49-UVG_Calculations!W$56)), 0)</f>
        <v>0</v>
      </c>
      <c r="X72" s="174">
        <f ca="1">IFERROR(SUMPRODUCT(UVG_Input_Data!Y54:$AZ54,OFFSET(Inputparam!$C$34:$AZ$34,0,0,1,49-UVG_Calculations!X$56)), 0)</f>
        <v>0</v>
      </c>
      <c r="Y72" s="174">
        <f ca="1">IFERROR(SUMPRODUCT(UVG_Input_Data!Z54:$AZ54,OFFSET(Inputparam!$C$34:$AZ$34,0,0,1,49-UVG_Calculations!Y$56)), 0)</f>
        <v>0</v>
      </c>
      <c r="Z72" s="174">
        <f ca="1">IFERROR(SUMPRODUCT(UVG_Input_Data!AA54:$AZ54,OFFSET(Inputparam!$C$34:$AZ$34,0,0,1,49-UVG_Calculations!Z$56)), 0)</f>
        <v>0</v>
      </c>
      <c r="AA72" s="174">
        <f ca="1">IFERROR(SUMPRODUCT(UVG_Input_Data!AB54:$AZ54,OFFSET(Inputparam!$C$34:$AZ$34,0,0,1,49-UVG_Calculations!AA$56)), 0)</f>
        <v>0</v>
      </c>
      <c r="AB72" s="174">
        <f ca="1">IFERROR(SUMPRODUCT(UVG_Input_Data!AC54:$AZ54,OFFSET(Inputparam!$C$34:$AZ$34,0,0,1,49-UVG_Calculations!AB$56)), 0)</f>
        <v>0</v>
      </c>
      <c r="AC72" s="174">
        <f ca="1">IFERROR(SUMPRODUCT(UVG_Input_Data!AD54:$AZ54,OFFSET(Inputparam!$C$34:$AZ$34,0,0,1,49-UVG_Calculations!AC$56)), 0)</f>
        <v>0</v>
      </c>
      <c r="AD72" s="174">
        <f ca="1">IFERROR(SUMPRODUCT(UVG_Input_Data!AE54:$AZ54,OFFSET(Inputparam!$C$34:$AZ$34,0,0,1,49-UVG_Calculations!AD$56)), 0)</f>
        <v>0</v>
      </c>
      <c r="AE72" s="174">
        <f ca="1">IFERROR(SUMPRODUCT(UVG_Input_Data!AF54:$AZ54,OFFSET(Inputparam!$C$34:$AZ$34,0,0,1,49-UVG_Calculations!AE$56)), 0)</f>
        <v>0</v>
      </c>
      <c r="AF72" s="174">
        <f ca="1">IFERROR(SUMPRODUCT(UVG_Input_Data!AG54:$AZ54,OFFSET(Inputparam!$C$34:$AZ$34,0,0,1,49-UVG_Calculations!AF$56)), 0)</f>
        <v>0</v>
      </c>
      <c r="AG72" s="174">
        <f ca="1">IFERROR(SUMPRODUCT(UVG_Input_Data!AH54:$AZ54,OFFSET(Inputparam!$C$34:$AZ$34,0,0,1,49-UVG_Calculations!AG$56)), 0)</f>
        <v>0</v>
      </c>
      <c r="AH72" s="174">
        <f ca="1">IFERROR(SUMPRODUCT(UVG_Input_Data!AI54:$AZ54,OFFSET(Inputparam!$C$34:$AZ$34,0,0,1,49-UVG_Calculations!AH$56)), 0)</f>
        <v>0</v>
      </c>
      <c r="AI72" s="174">
        <f ca="1">IFERROR(SUMPRODUCT(UVG_Input_Data!AJ54:$AZ54,OFFSET(Inputparam!$C$34:$AZ$34,0,0,1,49-UVG_Calculations!AI$56)), 0)</f>
        <v>0</v>
      </c>
      <c r="AJ72" s="174">
        <f ca="1">IFERROR(SUMPRODUCT(UVG_Input_Data!AK54:$AZ54,OFFSET(Inputparam!$C$34:$AZ$34,0,0,1,49-UVG_Calculations!AJ$56)), 0)</f>
        <v>0</v>
      </c>
      <c r="AK72" s="174">
        <f ca="1">IFERROR(SUMPRODUCT(UVG_Input_Data!AL54:$AZ54,OFFSET(Inputparam!$C$34:$AZ$34,0,0,1,49-UVG_Calculations!AK$56)), 0)</f>
        <v>0</v>
      </c>
      <c r="AL72" s="174">
        <f ca="1">IFERROR(SUMPRODUCT(UVG_Input_Data!AM54:$AZ54,OFFSET(Inputparam!$C$34:$AZ$34,0,0,1,49-UVG_Calculations!AL$56)), 0)</f>
        <v>0</v>
      </c>
      <c r="AM72" s="174">
        <f ca="1">IFERROR(SUMPRODUCT(UVG_Input_Data!AN54:$AZ54,OFFSET(Inputparam!$C$34:$AZ$34,0,0,1,49-UVG_Calculations!AM$56)), 0)</f>
        <v>0</v>
      </c>
      <c r="AN72" s="174">
        <f ca="1">IFERROR(SUMPRODUCT(UVG_Input_Data!AO54:$AZ54,OFFSET(Inputparam!$C$34:$AZ$34,0,0,1,49-UVG_Calculations!AN$56)), 0)</f>
        <v>0</v>
      </c>
      <c r="AO72" s="174">
        <f ca="1">IFERROR(SUMPRODUCT(UVG_Input_Data!AP54:$AZ54,OFFSET(Inputparam!$C$34:$AZ$34,0,0,1,49-UVG_Calculations!AO$56)), 0)</f>
        <v>0</v>
      </c>
      <c r="AP72" s="174">
        <f ca="1">IFERROR(SUMPRODUCT(UVG_Input_Data!AQ54:$AZ54,OFFSET(Inputparam!$C$34:$AZ$34,0,0,1,49-UVG_Calculations!AP$56)), 0)</f>
        <v>0</v>
      </c>
      <c r="AQ72" s="174">
        <f ca="1">IFERROR(SUMPRODUCT(UVG_Input_Data!AR54:$AZ54,OFFSET(Inputparam!$C$34:$AZ$34,0,0,1,49-UVG_Calculations!AQ$56)), 0)</f>
        <v>0</v>
      </c>
      <c r="AR72" s="174">
        <f ca="1">IFERROR(SUMPRODUCT(UVG_Input_Data!AS54:$AZ54,OFFSET(Inputparam!$C$34:$AZ$34,0,0,1,49-UVG_Calculations!AR$56)), 0)</f>
        <v>0</v>
      </c>
      <c r="AS72" s="174">
        <f ca="1">IFERROR(SUMPRODUCT(UVG_Input_Data!AT54:$AZ54,OFFSET(Inputparam!$C$34:$AZ$34,0,0,1,49-UVG_Calculations!AS$56)), 0)</f>
        <v>0</v>
      </c>
      <c r="AT72" s="174">
        <f ca="1">IFERROR(SUMPRODUCT(UVG_Input_Data!AU54:$AZ54,OFFSET(Inputparam!$C$34:$AZ$34,0,0,1,49-UVG_Calculations!AT$56)), 0)</f>
        <v>0</v>
      </c>
      <c r="AU72" s="174">
        <f ca="1">IFERROR(SUMPRODUCT(UVG_Input_Data!AV54:$AZ54,OFFSET(Inputparam!$C$34:$AZ$34,0,0,1,49-UVG_Calculations!AU$56)), 0)</f>
        <v>0</v>
      </c>
      <c r="AV72" s="174">
        <f ca="1">IFERROR(SUMPRODUCT(UVG_Input_Data!AW54:$AZ54,OFFSET(Inputparam!$C$34:$AZ$34,0,0,1,49-UVG_Calculations!AV$56)), 0)</f>
        <v>0</v>
      </c>
      <c r="AW72" s="174">
        <f ca="1">IFERROR(SUMPRODUCT(UVG_Input_Data!AX54:$AZ54,OFFSET(Inputparam!$C$34:$AZ$34,0,0,1,49-UVG_Calculations!AW$56)), 0)</f>
        <v>0</v>
      </c>
      <c r="AX72" s="174">
        <f ca="1">IFERROR(SUMPRODUCT(UVG_Input_Data!AY54:$AZ54,OFFSET(Inputparam!$C$34:$AZ$34,0,0,1,49-UVG_Calculations!AX$56)), 0)</f>
        <v>0</v>
      </c>
      <c r="AY72" s="174">
        <f ca="1">IFERROR(SUMPRODUCT(UVG_Input_Data!AZ54:$AZ54,OFFSET(Inputparam!$C$34:$AZ$34,0,0,1,49-UVG_Calculations!AY$56)), 0)</f>
        <v>0</v>
      </c>
      <c r="AZ72" s="174">
        <f ca="1">IFERROR(SUMPRODUCT(UVG_Input_Data!$AZ54:BA54,OFFSET(Inputparam!$C$34:$AZ$34,0,0,1,49-UVG_Calculations!AZ$56)), 0)</f>
        <v>0</v>
      </c>
    </row>
    <row r="73" spans="2:52">
      <c r="B73" s="172" t="s">
        <v>573</v>
      </c>
      <c r="C73" s="171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174">
        <f ca="1">IFERROR(SUMPRODUCT(UVG_Input_Data!S55:$AZ55,OFFSET(Inputparam!$C$34:$AZ$34,0,0,1,49-UVG_Calculations!R$56)), 0)</f>
        <v>0</v>
      </c>
      <c r="S73" s="174">
        <f ca="1">IFERROR(SUMPRODUCT(UVG_Input_Data!T55:$AZ55,OFFSET(Inputparam!$C$34:$AZ$34,0,0,1,49-UVG_Calculations!S$56)), 0)</f>
        <v>0</v>
      </c>
      <c r="T73" s="174">
        <f ca="1">IFERROR(SUMPRODUCT(UVG_Input_Data!U55:$AZ55,OFFSET(Inputparam!$C$34:$AZ$34,0,0,1,49-UVG_Calculations!T$56)), 0)</f>
        <v>0</v>
      </c>
      <c r="U73" s="174">
        <f ca="1">IFERROR(SUMPRODUCT(UVG_Input_Data!V55:$AZ55,OFFSET(Inputparam!$C$34:$AZ$34,0,0,1,49-UVG_Calculations!U$56)), 0)</f>
        <v>0</v>
      </c>
      <c r="V73" s="174">
        <f ca="1">IFERROR(SUMPRODUCT(UVG_Input_Data!W55:$AZ55,OFFSET(Inputparam!$C$34:$AZ$34,0,0,1,49-UVG_Calculations!V$56)), 0)</f>
        <v>0</v>
      </c>
      <c r="W73" s="174">
        <f ca="1">IFERROR(SUMPRODUCT(UVG_Input_Data!X55:$AZ55,OFFSET(Inputparam!$C$34:$AZ$34,0,0,1,49-UVG_Calculations!W$56)), 0)</f>
        <v>0</v>
      </c>
      <c r="X73" s="174">
        <f ca="1">IFERROR(SUMPRODUCT(UVG_Input_Data!Y55:$AZ55,OFFSET(Inputparam!$C$34:$AZ$34,0,0,1,49-UVG_Calculations!X$56)), 0)</f>
        <v>0</v>
      </c>
      <c r="Y73" s="174">
        <f ca="1">IFERROR(SUMPRODUCT(UVG_Input_Data!Z55:$AZ55,OFFSET(Inputparam!$C$34:$AZ$34,0,0,1,49-UVG_Calculations!Y$56)), 0)</f>
        <v>0</v>
      </c>
      <c r="Z73" s="174">
        <f ca="1">IFERROR(SUMPRODUCT(UVG_Input_Data!AA55:$AZ55,OFFSET(Inputparam!$C$34:$AZ$34,0,0,1,49-UVG_Calculations!Z$56)), 0)</f>
        <v>0</v>
      </c>
      <c r="AA73" s="174">
        <f ca="1">IFERROR(SUMPRODUCT(UVG_Input_Data!AB55:$AZ55,OFFSET(Inputparam!$C$34:$AZ$34,0,0,1,49-UVG_Calculations!AA$56)), 0)</f>
        <v>0</v>
      </c>
      <c r="AB73" s="174">
        <f ca="1">IFERROR(SUMPRODUCT(UVG_Input_Data!AC55:$AZ55,OFFSET(Inputparam!$C$34:$AZ$34,0,0,1,49-UVG_Calculations!AB$56)), 0)</f>
        <v>0</v>
      </c>
      <c r="AC73" s="174">
        <f ca="1">IFERROR(SUMPRODUCT(UVG_Input_Data!AD55:$AZ55,OFFSET(Inputparam!$C$34:$AZ$34,0,0,1,49-UVG_Calculations!AC$56)), 0)</f>
        <v>0</v>
      </c>
      <c r="AD73" s="174">
        <f ca="1">IFERROR(SUMPRODUCT(UVG_Input_Data!AE55:$AZ55,OFFSET(Inputparam!$C$34:$AZ$34,0,0,1,49-UVG_Calculations!AD$56)), 0)</f>
        <v>0</v>
      </c>
      <c r="AE73" s="174">
        <f ca="1">IFERROR(SUMPRODUCT(UVG_Input_Data!AF55:$AZ55,OFFSET(Inputparam!$C$34:$AZ$34,0,0,1,49-UVG_Calculations!AE$56)), 0)</f>
        <v>0</v>
      </c>
      <c r="AF73" s="174">
        <f ca="1">IFERROR(SUMPRODUCT(UVG_Input_Data!AG55:$AZ55,OFFSET(Inputparam!$C$34:$AZ$34,0,0,1,49-UVG_Calculations!AF$56)), 0)</f>
        <v>0</v>
      </c>
      <c r="AG73" s="174">
        <f ca="1">IFERROR(SUMPRODUCT(UVG_Input_Data!AH55:$AZ55,OFFSET(Inputparam!$C$34:$AZ$34,0,0,1,49-UVG_Calculations!AG$56)), 0)</f>
        <v>0</v>
      </c>
      <c r="AH73" s="174">
        <f ca="1">IFERROR(SUMPRODUCT(UVG_Input_Data!AI55:$AZ55,OFFSET(Inputparam!$C$34:$AZ$34,0,0,1,49-UVG_Calculations!AH$56)), 0)</f>
        <v>0</v>
      </c>
      <c r="AI73" s="174">
        <f ca="1">IFERROR(SUMPRODUCT(UVG_Input_Data!AJ55:$AZ55,OFFSET(Inputparam!$C$34:$AZ$34,0,0,1,49-UVG_Calculations!AI$56)), 0)</f>
        <v>0</v>
      </c>
      <c r="AJ73" s="174">
        <f ca="1">IFERROR(SUMPRODUCT(UVG_Input_Data!AK55:$AZ55,OFFSET(Inputparam!$C$34:$AZ$34,0,0,1,49-UVG_Calculations!AJ$56)), 0)</f>
        <v>0</v>
      </c>
      <c r="AK73" s="174">
        <f ca="1">IFERROR(SUMPRODUCT(UVG_Input_Data!AL55:$AZ55,OFFSET(Inputparam!$C$34:$AZ$34,0,0,1,49-UVG_Calculations!AK$56)), 0)</f>
        <v>0</v>
      </c>
      <c r="AL73" s="174">
        <f ca="1">IFERROR(SUMPRODUCT(UVG_Input_Data!AM55:$AZ55,OFFSET(Inputparam!$C$34:$AZ$34,0,0,1,49-UVG_Calculations!AL$56)), 0)</f>
        <v>0</v>
      </c>
      <c r="AM73" s="174">
        <f ca="1">IFERROR(SUMPRODUCT(UVG_Input_Data!AN55:$AZ55,OFFSET(Inputparam!$C$34:$AZ$34,0,0,1,49-UVG_Calculations!AM$56)), 0)</f>
        <v>0</v>
      </c>
      <c r="AN73" s="174">
        <f ca="1">IFERROR(SUMPRODUCT(UVG_Input_Data!AO55:$AZ55,OFFSET(Inputparam!$C$34:$AZ$34,0,0,1,49-UVG_Calculations!AN$56)), 0)</f>
        <v>0</v>
      </c>
      <c r="AO73" s="174">
        <f ca="1">IFERROR(SUMPRODUCT(UVG_Input_Data!AP55:$AZ55,OFFSET(Inputparam!$C$34:$AZ$34,0,0,1,49-UVG_Calculations!AO$56)), 0)</f>
        <v>0</v>
      </c>
      <c r="AP73" s="174">
        <f ca="1">IFERROR(SUMPRODUCT(UVG_Input_Data!AQ55:$AZ55,OFFSET(Inputparam!$C$34:$AZ$34,0,0,1,49-UVG_Calculations!AP$56)), 0)</f>
        <v>0</v>
      </c>
      <c r="AQ73" s="174">
        <f ca="1">IFERROR(SUMPRODUCT(UVG_Input_Data!AR55:$AZ55,OFFSET(Inputparam!$C$34:$AZ$34,0,0,1,49-UVG_Calculations!AQ$56)), 0)</f>
        <v>0</v>
      </c>
      <c r="AR73" s="174">
        <f ca="1">IFERROR(SUMPRODUCT(UVG_Input_Data!AS55:$AZ55,OFFSET(Inputparam!$C$34:$AZ$34,0,0,1,49-UVG_Calculations!AR$56)), 0)</f>
        <v>0</v>
      </c>
      <c r="AS73" s="174">
        <f ca="1">IFERROR(SUMPRODUCT(UVG_Input_Data!AT55:$AZ55,OFFSET(Inputparam!$C$34:$AZ$34,0,0,1,49-UVG_Calculations!AS$56)), 0)</f>
        <v>0</v>
      </c>
      <c r="AT73" s="174">
        <f ca="1">IFERROR(SUMPRODUCT(UVG_Input_Data!AU55:$AZ55,OFFSET(Inputparam!$C$34:$AZ$34,0,0,1,49-UVG_Calculations!AT$56)), 0)</f>
        <v>0</v>
      </c>
      <c r="AU73" s="174">
        <f ca="1">IFERROR(SUMPRODUCT(UVG_Input_Data!AV55:$AZ55,OFFSET(Inputparam!$C$34:$AZ$34,0,0,1,49-UVG_Calculations!AU$56)), 0)</f>
        <v>0</v>
      </c>
      <c r="AV73" s="174">
        <f ca="1">IFERROR(SUMPRODUCT(UVG_Input_Data!AW55:$AZ55,OFFSET(Inputparam!$C$34:$AZ$34,0,0,1,49-UVG_Calculations!AV$56)), 0)</f>
        <v>0</v>
      </c>
      <c r="AW73" s="174">
        <f ca="1">IFERROR(SUMPRODUCT(UVG_Input_Data!AX55:$AZ55,OFFSET(Inputparam!$C$34:$AZ$34,0,0,1,49-UVG_Calculations!AW$56)), 0)</f>
        <v>0</v>
      </c>
      <c r="AX73" s="174">
        <f ca="1">IFERROR(SUMPRODUCT(UVG_Input_Data!AY55:$AZ55,OFFSET(Inputparam!$C$34:$AZ$34,0,0,1,49-UVG_Calculations!AX$56)), 0)</f>
        <v>0</v>
      </c>
      <c r="AY73" s="174">
        <f ca="1">IFERROR(SUMPRODUCT(UVG_Input_Data!AZ55:$AZ55,OFFSET(Inputparam!$C$34:$AZ$34,0,0,1,49-UVG_Calculations!AY$56)), 0)</f>
        <v>0</v>
      </c>
      <c r="AZ73" s="174">
        <f ca="1">IFERROR(SUMPRODUCT(UVG_Input_Data!$AZ55:BA55,OFFSET(Inputparam!$C$34:$AZ$34,0,0,1,49-UVG_Calculations!AZ$56)), 0)</f>
        <v>0</v>
      </c>
    </row>
    <row r="74" spans="2:52">
      <c r="B74" s="172" t="s">
        <v>574</v>
      </c>
      <c r="C74" s="171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174">
        <f ca="1">IFERROR(SUMPRODUCT(UVG_Input_Data!T56:$AZ56,OFFSET(Inputparam!$C$34:$AZ$34,0,0,1,49-UVG_Calculations!S$56)), 0)</f>
        <v>0</v>
      </c>
      <c r="T74" s="174">
        <f ca="1">IFERROR(SUMPRODUCT(UVG_Input_Data!U56:$AZ56,OFFSET(Inputparam!$C$34:$AZ$34,0,0,1,49-UVG_Calculations!T$56)), 0)</f>
        <v>0</v>
      </c>
      <c r="U74" s="174">
        <f ca="1">IFERROR(SUMPRODUCT(UVG_Input_Data!V56:$AZ56,OFFSET(Inputparam!$C$34:$AZ$34,0,0,1,49-UVG_Calculations!U$56)), 0)</f>
        <v>0</v>
      </c>
      <c r="V74" s="174">
        <f ca="1">IFERROR(SUMPRODUCT(UVG_Input_Data!W56:$AZ56,OFFSET(Inputparam!$C$34:$AZ$34,0,0,1,49-UVG_Calculations!V$56)), 0)</f>
        <v>0</v>
      </c>
      <c r="W74" s="174">
        <f ca="1">IFERROR(SUMPRODUCT(UVG_Input_Data!X56:$AZ56,OFFSET(Inputparam!$C$34:$AZ$34,0,0,1,49-UVG_Calculations!W$56)), 0)</f>
        <v>0</v>
      </c>
      <c r="X74" s="174">
        <f ca="1">IFERROR(SUMPRODUCT(UVG_Input_Data!Y56:$AZ56,OFFSET(Inputparam!$C$34:$AZ$34,0,0,1,49-UVG_Calculations!X$56)), 0)</f>
        <v>0</v>
      </c>
      <c r="Y74" s="174">
        <f ca="1">IFERROR(SUMPRODUCT(UVG_Input_Data!Z56:$AZ56,OFFSET(Inputparam!$C$34:$AZ$34,0,0,1,49-UVG_Calculations!Y$56)), 0)</f>
        <v>0</v>
      </c>
      <c r="Z74" s="174">
        <f ca="1">IFERROR(SUMPRODUCT(UVG_Input_Data!AA56:$AZ56,OFFSET(Inputparam!$C$34:$AZ$34,0,0,1,49-UVG_Calculations!Z$56)), 0)</f>
        <v>0</v>
      </c>
      <c r="AA74" s="174">
        <f ca="1">IFERROR(SUMPRODUCT(UVG_Input_Data!AB56:$AZ56,OFFSET(Inputparam!$C$34:$AZ$34,0,0,1,49-UVG_Calculations!AA$56)), 0)</f>
        <v>0</v>
      </c>
      <c r="AB74" s="174">
        <f ca="1">IFERROR(SUMPRODUCT(UVG_Input_Data!AC56:$AZ56,OFFSET(Inputparam!$C$34:$AZ$34,0,0,1,49-UVG_Calculations!AB$56)), 0)</f>
        <v>0</v>
      </c>
      <c r="AC74" s="174">
        <f ca="1">IFERROR(SUMPRODUCT(UVG_Input_Data!AD56:$AZ56,OFFSET(Inputparam!$C$34:$AZ$34,0,0,1,49-UVG_Calculations!AC$56)), 0)</f>
        <v>0</v>
      </c>
      <c r="AD74" s="174">
        <f ca="1">IFERROR(SUMPRODUCT(UVG_Input_Data!AE56:$AZ56,OFFSET(Inputparam!$C$34:$AZ$34,0,0,1,49-UVG_Calculations!AD$56)), 0)</f>
        <v>0</v>
      </c>
      <c r="AE74" s="174">
        <f ca="1">IFERROR(SUMPRODUCT(UVG_Input_Data!AF56:$AZ56,OFFSET(Inputparam!$C$34:$AZ$34,0,0,1,49-UVG_Calculations!AE$56)), 0)</f>
        <v>0</v>
      </c>
      <c r="AF74" s="174">
        <f ca="1">IFERROR(SUMPRODUCT(UVG_Input_Data!AG56:$AZ56,OFFSET(Inputparam!$C$34:$AZ$34,0,0,1,49-UVG_Calculations!AF$56)), 0)</f>
        <v>0</v>
      </c>
      <c r="AG74" s="174">
        <f ca="1">IFERROR(SUMPRODUCT(UVG_Input_Data!AH56:$AZ56,OFFSET(Inputparam!$C$34:$AZ$34,0,0,1,49-UVG_Calculations!AG$56)), 0)</f>
        <v>0</v>
      </c>
      <c r="AH74" s="174">
        <f ca="1">IFERROR(SUMPRODUCT(UVG_Input_Data!AI56:$AZ56,OFFSET(Inputparam!$C$34:$AZ$34,0,0,1,49-UVG_Calculations!AH$56)), 0)</f>
        <v>0</v>
      </c>
      <c r="AI74" s="174">
        <f ca="1">IFERROR(SUMPRODUCT(UVG_Input_Data!AJ56:$AZ56,OFFSET(Inputparam!$C$34:$AZ$34,0,0,1,49-UVG_Calculations!AI$56)), 0)</f>
        <v>0</v>
      </c>
      <c r="AJ74" s="174">
        <f ca="1">IFERROR(SUMPRODUCT(UVG_Input_Data!AK56:$AZ56,OFFSET(Inputparam!$C$34:$AZ$34,0,0,1,49-UVG_Calculations!AJ$56)), 0)</f>
        <v>0</v>
      </c>
      <c r="AK74" s="174">
        <f ca="1">IFERROR(SUMPRODUCT(UVG_Input_Data!AL56:$AZ56,OFFSET(Inputparam!$C$34:$AZ$34,0,0,1,49-UVG_Calculations!AK$56)), 0)</f>
        <v>0</v>
      </c>
      <c r="AL74" s="174">
        <f ca="1">IFERROR(SUMPRODUCT(UVG_Input_Data!AM56:$AZ56,OFFSET(Inputparam!$C$34:$AZ$34,0,0,1,49-UVG_Calculations!AL$56)), 0)</f>
        <v>0</v>
      </c>
      <c r="AM74" s="174">
        <f ca="1">IFERROR(SUMPRODUCT(UVG_Input_Data!AN56:$AZ56,OFFSET(Inputparam!$C$34:$AZ$34,0,0,1,49-UVG_Calculations!AM$56)), 0)</f>
        <v>0</v>
      </c>
      <c r="AN74" s="174">
        <f ca="1">IFERROR(SUMPRODUCT(UVG_Input_Data!AO56:$AZ56,OFFSET(Inputparam!$C$34:$AZ$34,0,0,1,49-UVG_Calculations!AN$56)), 0)</f>
        <v>0</v>
      </c>
      <c r="AO74" s="174">
        <f ca="1">IFERROR(SUMPRODUCT(UVG_Input_Data!AP56:$AZ56,OFFSET(Inputparam!$C$34:$AZ$34,0,0,1,49-UVG_Calculations!AO$56)), 0)</f>
        <v>0</v>
      </c>
      <c r="AP74" s="174">
        <f ca="1">IFERROR(SUMPRODUCT(UVG_Input_Data!AQ56:$AZ56,OFFSET(Inputparam!$C$34:$AZ$34,0,0,1,49-UVG_Calculations!AP$56)), 0)</f>
        <v>0</v>
      </c>
      <c r="AQ74" s="174">
        <f ca="1">IFERROR(SUMPRODUCT(UVG_Input_Data!AR56:$AZ56,OFFSET(Inputparam!$C$34:$AZ$34,0,0,1,49-UVG_Calculations!AQ$56)), 0)</f>
        <v>0</v>
      </c>
      <c r="AR74" s="174">
        <f ca="1">IFERROR(SUMPRODUCT(UVG_Input_Data!AS56:$AZ56,OFFSET(Inputparam!$C$34:$AZ$34,0,0,1,49-UVG_Calculations!AR$56)), 0)</f>
        <v>0</v>
      </c>
      <c r="AS74" s="174">
        <f ca="1">IFERROR(SUMPRODUCT(UVG_Input_Data!AT56:$AZ56,OFFSET(Inputparam!$C$34:$AZ$34,0,0,1,49-UVG_Calculations!AS$56)), 0)</f>
        <v>0</v>
      </c>
      <c r="AT74" s="174">
        <f ca="1">IFERROR(SUMPRODUCT(UVG_Input_Data!AU56:$AZ56,OFFSET(Inputparam!$C$34:$AZ$34,0,0,1,49-UVG_Calculations!AT$56)), 0)</f>
        <v>0</v>
      </c>
      <c r="AU74" s="174">
        <f ca="1">IFERROR(SUMPRODUCT(UVG_Input_Data!AV56:$AZ56,OFFSET(Inputparam!$C$34:$AZ$34,0,0,1,49-UVG_Calculations!AU$56)), 0)</f>
        <v>0</v>
      </c>
      <c r="AV74" s="174">
        <f ca="1">IFERROR(SUMPRODUCT(UVG_Input_Data!AW56:$AZ56,OFFSET(Inputparam!$C$34:$AZ$34,0,0,1,49-UVG_Calculations!AV$56)), 0)</f>
        <v>0</v>
      </c>
      <c r="AW74" s="174">
        <f ca="1">IFERROR(SUMPRODUCT(UVG_Input_Data!AX56:$AZ56,OFFSET(Inputparam!$C$34:$AZ$34,0,0,1,49-UVG_Calculations!AW$56)), 0)</f>
        <v>0</v>
      </c>
      <c r="AX74" s="174">
        <f ca="1">IFERROR(SUMPRODUCT(UVG_Input_Data!AY56:$AZ56,OFFSET(Inputparam!$C$34:$AZ$34,0,0,1,49-UVG_Calculations!AX$56)), 0)</f>
        <v>0</v>
      </c>
      <c r="AY74" s="174">
        <f ca="1">IFERROR(SUMPRODUCT(UVG_Input_Data!AZ56:$AZ56,OFFSET(Inputparam!$C$34:$AZ$34,0,0,1,49-UVG_Calculations!AY$56)), 0)</f>
        <v>0</v>
      </c>
      <c r="AZ74" s="174">
        <f ca="1">IFERROR(SUMPRODUCT(UVG_Input_Data!$AZ56:BA56,OFFSET(Inputparam!$C$34:$AZ$34,0,0,1,49-UVG_Calculations!AZ$56)), 0)</f>
        <v>0</v>
      </c>
    </row>
    <row r="75" spans="2:52">
      <c r="B75" s="172" t="s">
        <v>575</v>
      </c>
      <c r="C75" s="171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174">
        <f ca="1">IFERROR(SUMPRODUCT(UVG_Input_Data!U57:$AZ57,OFFSET(Inputparam!$C$34:$AZ$34,0,0,1,49-UVG_Calculations!T$56)), 0)</f>
        <v>0</v>
      </c>
      <c r="U75" s="174">
        <f ca="1">IFERROR(SUMPRODUCT(UVG_Input_Data!V57:$AZ57,OFFSET(Inputparam!$C$34:$AZ$34,0,0,1,49-UVG_Calculations!U$56)), 0)</f>
        <v>0</v>
      </c>
      <c r="V75" s="174">
        <f ca="1">IFERROR(SUMPRODUCT(UVG_Input_Data!W57:$AZ57,OFFSET(Inputparam!$C$34:$AZ$34,0,0,1,49-UVG_Calculations!V$56)), 0)</f>
        <v>0</v>
      </c>
      <c r="W75" s="174">
        <f ca="1">IFERROR(SUMPRODUCT(UVG_Input_Data!X57:$AZ57,OFFSET(Inputparam!$C$34:$AZ$34,0,0,1,49-UVG_Calculations!W$56)), 0)</f>
        <v>0</v>
      </c>
      <c r="X75" s="174">
        <f ca="1">IFERROR(SUMPRODUCT(UVG_Input_Data!Y57:$AZ57,OFFSET(Inputparam!$C$34:$AZ$34,0,0,1,49-UVG_Calculations!X$56)), 0)</f>
        <v>0</v>
      </c>
      <c r="Y75" s="174">
        <f ca="1">IFERROR(SUMPRODUCT(UVG_Input_Data!Z57:$AZ57,OFFSET(Inputparam!$C$34:$AZ$34,0,0,1,49-UVG_Calculations!Y$56)), 0)</f>
        <v>0</v>
      </c>
      <c r="Z75" s="174">
        <f ca="1">IFERROR(SUMPRODUCT(UVG_Input_Data!AA57:$AZ57,OFFSET(Inputparam!$C$34:$AZ$34,0,0,1,49-UVG_Calculations!Z$56)), 0)</f>
        <v>0</v>
      </c>
      <c r="AA75" s="174">
        <f ca="1">IFERROR(SUMPRODUCT(UVG_Input_Data!AB57:$AZ57,OFFSET(Inputparam!$C$34:$AZ$34,0,0,1,49-UVG_Calculations!AA$56)), 0)</f>
        <v>0</v>
      </c>
      <c r="AB75" s="174">
        <f ca="1">IFERROR(SUMPRODUCT(UVG_Input_Data!AC57:$AZ57,OFFSET(Inputparam!$C$34:$AZ$34,0,0,1,49-UVG_Calculations!AB$56)), 0)</f>
        <v>0</v>
      </c>
      <c r="AC75" s="174">
        <f ca="1">IFERROR(SUMPRODUCT(UVG_Input_Data!AD57:$AZ57,OFFSET(Inputparam!$C$34:$AZ$34,0,0,1,49-UVG_Calculations!AC$56)), 0)</f>
        <v>0</v>
      </c>
      <c r="AD75" s="174">
        <f ca="1">IFERROR(SUMPRODUCT(UVG_Input_Data!AE57:$AZ57,OFFSET(Inputparam!$C$34:$AZ$34,0,0,1,49-UVG_Calculations!AD$56)), 0)</f>
        <v>0</v>
      </c>
      <c r="AE75" s="174">
        <f ca="1">IFERROR(SUMPRODUCT(UVG_Input_Data!AF57:$AZ57,OFFSET(Inputparam!$C$34:$AZ$34,0,0,1,49-UVG_Calculations!AE$56)), 0)</f>
        <v>0</v>
      </c>
      <c r="AF75" s="174">
        <f ca="1">IFERROR(SUMPRODUCT(UVG_Input_Data!AG57:$AZ57,OFFSET(Inputparam!$C$34:$AZ$34,0,0,1,49-UVG_Calculations!AF$56)), 0)</f>
        <v>0</v>
      </c>
      <c r="AG75" s="174">
        <f ca="1">IFERROR(SUMPRODUCT(UVG_Input_Data!AH57:$AZ57,OFFSET(Inputparam!$C$34:$AZ$34,0,0,1,49-UVG_Calculations!AG$56)), 0)</f>
        <v>0</v>
      </c>
      <c r="AH75" s="174">
        <f ca="1">IFERROR(SUMPRODUCT(UVG_Input_Data!AI57:$AZ57,OFFSET(Inputparam!$C$34:$AZ$34,0,0,1,49-UVG_Calculations!AH$56)), 0)</f>
        <v>0</v>
      </c>
      <c r="AI75" s="174">
        <f ca="1">IFERROR(SUMPRODUCT(UVG_Input_Data!AJ57:$AZ57,OFFSET(Inputparam!$C$34:$AZ$34,0,0,1,49-UVG_Calculations!AI$56)), 0)</f>
        <v>0</v>
      </c>
      <c r="AJ75" s="174">
        <f ca="1">IFERROR(SUMPRODUCT(UVG_Input_Data!AK57:$AZ57,OFFSET(Inputparam!$C$34:$AZ$34,0,0,1,49-UVG_Calculations!AJ$56)), 0)</f>
        <v>0</v>
      </c>
      <c r="AK75" s="174">
        <f ca="1">IFERROR(SUMPRODUCT(UVG_Input_Data!AL57:$AZ57,OFFSET(Inputparam!$C$34:$AZ$34,0,0,1,49-UVG_Calculations!AK$56)), 0)</f>
        <v>0</v>
      </c>
      <c r="AL75" s="174">
        <f ca="1">IFERROR(SUMPRODUCT(UVG_Input_Data!AM57:$AZ57,OFFSET(Inputparam!$C$34:$AZ$34,0,0,1,49-UVG_Calculations!AL$56)), 0)</f>
        <v>0</v>
      </c>
      <c r="AM75" s="174">
        <f ca="1">IFERROR(SUMPRODUCT(UVG_Input_Data!AN57:$AZ57,OFFSET(Inputparam!$C$34:$AZ$34,0,0,1,49-UVG_Calculations!AM$56)), 0)</f>
        <v>0</v>
      </c>
      <c r="AN75" s="174">
        <f ca="1">IFERROR(SUMPRODUCT(UVG_Input_Data!AO57:$AZ57,OFFSET(Inputparam!$C$34:$AZ$34,0,0,1,49-UVG_Calculations!AN$56)), 0)</f>
        <v>0</v>
      </c>
      <c r="AO75" s="174">
        <f ca="1">IFERROR(SUMPRODUCT(UVG_Input_Data!AP57:$AZ57,OFFSET(Inputparam!$C$34:$AZ$34,0,0,1,49-UVG_Calculations!AO$56)), 0)</f>
        <v>0</v>
      </c>
      <c r="AP75" s="174">
        <f ca="1">IFERROR(SUMPRODUCT(UVG_Input_Data!AQ57:$AZ57,OFFSET(Inputparam!$C$34:$AZ$34,0,0,1,49-UVG_Calculations!AP$56)), 0)</f>
        <v>0</v>
      </c>
      <c r="AQ75" s="174">
        <f ca="1">IFERROR(SUMPRODUCT(UVG_Input_Data!AR57:$AZ57,OFFSET(Inputparam!$C$34:$AZ$34,0,0,1,49-UVG_Calculations!AQ$56)), 0)</f>
        <v>0</v>
      </c>
      <c r="AR75" s="174">
        <f ca="1">IFERROR(SUMPRODUCT(UVG_Input_Data!AS57:$AZ57,OFFSET(Inputparam!$C$34:$AZ$34,0,0,1,49-UVG_Calculations!AR$56)), 0)</f>
        <v>0</v>
      </c>
      <c r="AS75" s="174">
        <f ca="1">IFERROR(SUMPRODUCT(UVG_Input_Data!AT57:$AZ57,OFFSET(Inputparam!$C$34:$AZ$34,0,0,1,49-UVG_Calculations!AS$56)), 0)</f>
        <v>0</v>
      </c>
      <c r="AT75" s="174">
        <f ca="1">IFERROR(SUMPRODUCT(UVG_Input_Data!AU57:$AZ57,OFFSET(Inputparam!$C$34:$AZ$34,0,0,1,49-UVG_Calculations!AT$56)), 0)</f>
        <v>0</v>
      </c>
      <c r="AU75" s="174">
        <f ca="1">IFERROR(SUMPRODUCT(UVG_Input_Data!AV57:$AZ57,OFFSET(Inputparam!$C$34:$AZ$34,0,0,1,49-UVG_Calculations!AU$56)), 0)</f>
        <v>0</v>
      </c>
      <c r="AV75" s="174">
        <f ca="1">IFERROR(SUMPRODUCT(UVG_Input_Data!AW57:$AZ57,OFFSET(Inputparam!$C$34:$AZ$34,0,0,1,49-UVG_Calculations!AV$56)), 0)</f>
        <v>0</v>
      </c>
      <c r="AW75" s="174">
        <f ca="1">IFERROR(SUMPRODUCT(UVG_Input_Data!AX57:$AZ57,OFFSET(Inputparam!$C$34:$AZ$34,0,0,1,49-UVG_Calculations!AW$56)), 0)</f>
        <v>0</v>
      </c>
      <c r="AX75" s="174">
        <f ca="1">IFERROR(SUMPRODUCT(UVG_Input_Data!AY57:$AZ57,OFFSET(Inputparam!$C$34:$AZ$34,0,0,1,49-UVG_Calculations!AX$56)), 0)</f>
        <v>0</v>
      </c>
      <c r="AY75" s="174">
        <f ca="1">IFERROR(SUMPRODUCT(UVG_Input_Data!AZ57:$AZ57,OFFSET(Inputparam!$C$34:$AZ$34,0,0,1,49-UVG_Calculations!AY$56)), 0)</f>
        <v>0</v>
      </c>
      <c r="AZ75" s="174">
        <f ca="1">IFERROR(SUMPRODUCT(UVG_Input_Data!$AZ57:BA57,OFFSET(Inputparam!$C$34:$AZ$34,0,0,1,49-UVG_Calculations!AZ$56)), 0)</f>
        <v>0</v>
      </c>
    </row>
    <row r="76" spans="2:52">
      <c r="B76" s="172" t="s">
        <v>576</v>
      </c>
      <c r="C76" s="171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174">
        <f ca="1">IFERROR(SUMPRODUCT(UVG_Input_Data!V58:$AZ58,OFFSET(Inputparam!$C$34:$AZ$34,0,0,1,49-UVG_Calculations!U$56)), 0)</f>
        <v>0</v>
      </c>
      <c r="V76" s="174">
        <f ca="1">IFERROR(SUMPRODUCT(UVG_Input_Data!W58:$AZ58,OFFSET(Inputparam!$C$34:$AZ$34,0,0,1,49-UVG_Calculations!V$56)), 0)</f>
        <v>0</v>
      </c>
      <c r="W76" s="174">
        <f ca="1">IFERROR(SUMPRODUCT(UVG_Input_Data!X58:$AZ58,OFFSET(Inputparam!$C$34:$AZ$34,0,0,1,49-UVG_Calculations!W$56)), 0)</f>
        <v>0</v>
      </c>
      <c r="X76" s="174">
        <f ca="1">IFERROR(SUMPRODUCT(UVG_Input_Data!Y58:$AZ58,OFFSET(Inputparam!$C$34:$AZ$34,0,0,1,49-UVG_Calculations!X$56)), 0)</f>
        <v>0</v>
      </c>
      <c r="Y76" s="174">
        <f ca="1">IFERROR(SUMPRODUCT(UVG_Input_Data!Z58:$AZ58,OFFSET(Inputparam!$C$34:$AZ$34,0,0,1,49-UVG_Calculations!Y$56)), 0)</f>
        <v>0</v>
      </c>
      <c r="Z76" s="174">
        <f ca="1">IFERROR(SUMPRODUCT(UVG_Input_Data!AA58:$AZ58,OFFSET(Inputparam!$C$34:$AZ$34,0,0,1,49-UVG_Calculations!Z$56)), 0)</f>
        <v>0</v>
      </c>
      <c r="AA76" s="174">
        <f ca="1">IFERROR(SUMPRODUCT(UVG_Input_Data!AB58:$AZ58,OFFSET(Inputparam!$C$34:$AZ$34,0,0,1,49-UVG_Calculations!AA$56)), 0)</f>
        <v>0</v>
      </c>
      <c r="AB76" s="174">
        <f ca="1">IFERROR(SUMPRODUCT(UVG_Input_Data!AC58:$AZ58,OFFSET(Inputparam!$C$34:$AZ$34,0,0,1,49-UVG_Calculations!AB$56)), 0)</f>
        <v>0</v>
      </c>
      <c r="AC76" s="174">
        <f ca="1">IFERROR(SUMPRODUCT(UVG_Input_Data!AD58:$AZ58,OFFSET(Inputparam!$C$34:$AZ$34,0,0,1,49-UVG_Calculations!AC$56)), 0)</f>
        <v>0</v>
      </c>
      <c r="AD76" s="174">
        <f ca="1">IFERROR(SUMPRODUCT(UVG_Input_Data!AE58:$AZ58,OFFSET(Inputparam!$C$34:$AZ$34,0,0,1,49-UVG_Calculations!AD$56)), 0)</f>
        <v>0</v>
      </c>
      <c r="AE76" s="174">
        <f ca="1">IFERROR(SUMPRODUCT(UVG_Input_Data!AF58:$AZ58,OFFSET(Inputparam!$C$34:$AZ$34,0,0,1,49-UVG_Calculations!AE$56)), 0)</f>
        <v>0</v>
      </c>
      <c r="AF76" s="174">
        <f ca="1">IFERROR(SUMPRODUCT(UVG_Input_Data!AG58:$AZ58,OFFSET(Inputparam!$C$34:$AZ$34,0,0,1,49-UVG_Calculations!AF$56)), 0)</f>
        <v>0</v>
      </c>
      <c r="AG76" s="174">
        <f ca="1">IFERROR(SUMPRODUCT(UVG_Input_Data!AH58:$AZ58,OFFSET(Inputparam!$C$34:$AZ$34,0,0,1,49-UVG_Calculations!AG$56)), 0)</f>
        <v>0</v>
      </c>
      <c r="AH76" s="174">
        <f ca="1">IFERROR(SUMPRODUCT(UVG_Input_Data!AI58:$AZ58,OFFSET(Inputparam!$C$34:$AZ$34,0,0,1,49-UVG_Calculations!AH$56)), 0)</f>
        <v>0</v>
      </c>
      <c r="AI76" s="174">
        <f ca="1">IFERROR(SUMPRODUCT(UVG_Input_Data!AJ58:$AZ58,OFFSET(Inputparam!$C$34:$AZ$34,0,0,1,49-UVG_Calculations!AI$56)), 0)</f>
        <v>0</v>
      </c>
      <c r="AJ76" s="174">
        <f ca="1">IFERROR(SUMPRODUCT(UVG_Input_Data!AK58:$AZ58,OFFSET(Inputparam!$C$34:$AZ$34,0,0,1,49-UVG_Calculations!AJ$56)), 0)</f>
        <v>0</v>
      </c>
      <c r="AK76" s="174">
        <f ca="1">IFERROR(SUMPRODUCT(UVG_Input_Data!AL58:$AZ58,OFFSET(Inputparam!$C$34:$AZ$34,0,0,1,49-UVG_Calculations!AK$56)), 0)</f>
        <v>0</v>
      </c>
      <c r="AL76" s="174">
        <f ca="1">IFERROR(SUMPRODUCT(UVG_Input_Data!AM58:$AZ58,OFFSET(Inputparam!$C$34:$AZ$34,0,0,1,49-UVG_Calculations!AL$56)), 0)</f>
        <v>0</v>
      </c>
      <c r="AM76" s="174">
        <f ca="1">IFERROR(SUMPRODUCT(UVG_Input_Data!AN58:$AZ58,OFFSET(Inputparam!$C$34:$AZ$34,0,0,1,49-UVG_Calculations!AM$56)), 0)</f>
        <v>0</v>
      </c>
      <c r="AN76" s="174">
        <f ca="1">IFERROR(SUMPRODUCT(UVG_Input_Data!AO58:$AZ58,OFFSET(Inputparam!$C$34:$AZ$34,0,0,1,49-UVG_Calculations!AN$56)), 0)</f>
        <v>0</v>
      </c>
      <c r="AO76" s="174">
        <f ca="1">IFERROR(SUMPRODUCT(UVG_Input_Data!AP58:$AZ58,OFFSET(Inputparam!$C$34:$AZ$34,0,0,1,49-UVG_Calculations!AO$56)), 0)</f>
        <v>0</v>
      </c>
      <c r="AP76" s="174">
        <f ca="1">IFERROR(SUMPRODUCT(UVG_Input_Data!AQ58:$AZ58,OFFSET(Inputparam!$C$34:$AZ$34,0,0,1,49-UVG_Calculations!AP$56)), 0)</f>
        <v>0</v>
      </c>
      <c r="AQ76" s="174">
        <f ca="1">IFERROR(SUMPRODUCT(UVG_Input_Data!AR58:$AZ58,OFFSET(Inputparam!$C$34:$AZ$34,0,0,1,49-UVG_Calculations!AQ$56)), 0)</f>
        <v>0</v>
      </c>
      <c r="AR76" s="174">
        <f ca="1">IFERROR(SUMPRODUCT(UVG_Input_Data!AS58:$AZ58,OFFSET(Inputparam!$C$34:$AZ$34,0,0,1,49-UVG_Calculations!AR$56)), 0)</f>
        <v>0</v>
      </c>
      <c r="AS76" s="174">
        <f ca="1">IFERROR(SUMPRODUCT(UVG_Input_Data!AT58:$AZ58,OFFSET(Inputparam!$C$34:$AZ$34,0,0,1,49-UVG_Calculations!AS$56)), 0)</f>
        <v>0</v>
      </c>
      <c r="AT76" s="174">
        <f ca="1">IFERROR(SUMPRODUCT(UVG_Input_Data!AU58:$AZ58,OFFSET(Inputparam!$C$34:$AZ$34,0,0,1,49-UVG_Calculations!AT$56)), 0)</f>
        <v>0</v>
      </c>
      <c r="AU76" s="174">
        <f ca="1">IFERROR(SUMPRODUCT(UVG_Input_Data!AV58:$AZ58,OFFSET(Inputparam!$C$34:$AZ$34,0,0,1,49-UVG_Calculations!AU$56)), 0)</f>
        <v>0</v>
      </c>
      <c r="AV76" s="174">
        <f ca="1">IFERROR(SUMPRODUCT(UVG_Input_Data!AW58:$AZ58,OFFSET(Inputparam!$C$34:$AZ$34,0,0,1,49-UVG_Calculations!AV$56)), 0)</f>
        <v>0</v>
      </c>
      <c r="AW76" s="174">
        <f ca="1">IFERROR(SUMPRODUCT(UVG_Input_Data!AX58:$AZ58,OFFSET(Inputparam!$C$34:$AZ$34,0,0,1,49-UVG_Calculations!AW$56)), 0)</f>
        <v>0</v>
      </c>
      <c r="AX76" s="174">
        <f ca="1">IFERROR(SUMPRODUCT(UVG_Input_Data!AY58:$AZ58,OFFSET(Inputparam!$C$34:$AZ$34,0,0,1,49-UVG_Calculations!AX$56)), 0)</f>
        <v>0</v>
      </c>
      <c r="AY76" s="174">
        <f ca="1">IFERROR(SUMPRODUCT(UVG_Input_Data!AZ58:$AZ58,OFFSET(Inputparam!$C$34:$AZ$34,0,0,1,49-UVG_Calculations!AY$56)), 0)</f>
        <v>0</v>
      </c>
      <c r="AZ76" s="174">
        <f ca="1">IFERROR(SUMPRODUCT(UVG_Input_Data!$AZ58:BA58,OFFSET(Inputparam!$C$34:$AZ$34,0,0,1,49-UVG_Calculations!AZ$56)), 0)</f>
        <v>0</v>
      </c>
    </row>
    <row r="77" spans="2:52">
      <c r="B77" s="172" t="s">
        <v>577</v>
      </c>
      <c r="C77" s="171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174">
        <f ca="1">IFERROR(SUMPRODUCT(UVG_Input_Data!W59:$AZ59,OFFSET(Inputparam!$C$34:$AZ$34,0,0,1,49-UVG_Calculations!V$56)), 0)</f>
        <v>0</v>
      </c>
      <c r="W77" s="174">
        <f ca="1">IFERROR(SUMPRODUCT(UVG_Input_Data!X59:$AZ59,OFFSET(Inputparam!$C$34:$AZ$34,0,0,1,49-UVG_Calculations!W$56)), 0)</f>
        <v>0</v>
      </c>
      <c r="X77" s="174">
        <f ca="1">IFERROR(SUMPRODUCT(UVG_Input_Data!Y59:$AZ59,OFFSET(Inputparam!$C$34:$AZ$34,0,0,1,49-UVG_Calculations!X$56)), 0)</f>
        <v>0</v>
      </c>
      <c r="Y77" s="174">
        <f ca="1">IFERROR(SUMPRODUCT(UVG_Input_Data!Z59:$AZ59,OFFSET(Inputparam!$C$34:$AZ$34,0,0,1,49-UVG_Calculations!Y$56)), 0)</f>
        <v>0</v>
      </c>
      <c r="Z77" s="174">
        <f ca="1">IFERROR(SUMPRODUCT(UVG_Input_Data!AA59:$AZ59,OFFSET(Inputparam!$C$34:$AZ$34,0,0,1,49-UVG_Calculations!Z$56)), 0)</f>
        <v>0</v>
      </c>
      <c r="AA77" s="174">
        <f ca="1">IFERROR(SUMPRODUCT(UVG_Input_Data!AB59:$AZ59,OFFSET(Inputparam!$C$34:$AZ$34,0,0,1,49-UVG_Calculations!AA$56)), 0)</f>
        <v>0</v>
      </c>
      <c r="AB77" s="174">
        <f ca="1">IFERROR(SUMPRODUCT(UVG_Input_Data!AC59:$AZ59,OFFSET(Inputparam!$C$34:$AZ$34,0,0,1,49-UVG_Calculations!AB$56)), 0)</f>
        <v>0</v>
      </c>
      <c r="AC77" s="174">
        <f ca="1">IFERROR(SUMPRODUCT(UVG_Input_Data!AD59:$AZ59,OFFSET(Inputparam!$C$34:$AZ$34,0,0,1,49-UVG_Calculations!AC$56)), 0)</f>
        <v>0</v>
      </c>
      <c r="AD77" s="174">
        <f ca="1">IFERROR(SUMPRODUCT(UVG_Input_Data!AE59:$AZ59,OFFSET(Inputparam!$C$34:$AZ$34,0,0,1,49-UVG_Calculations!AD$56)), 0)</f>
        <v>0</v>
      </c>
      <c r="AE77" s="174">
        <f ca="1">IFERROR(SUMPRODUCT(UVG_Input_Data!AF59:$AZ59,OFFSET(Inputparam!$C$34:$AZ$34,0,0,1,49-UVG_Calculations!AE$56)), 0)</f>
        <v>0</v>
      </c>
      <c r="AF77" s="174">
        <f ca="1">IFERROR(SUMPRODUCT(UVG_Input_Data!AG59:$AZ59,OFFSET(Inputparam!$C$34:$AZ$34,0,0,1,49-UVG_Calculations!AF$56)), 0)</f>
        <v>0</v>
      </c>
      <c r="AG77" s="174">
        <f ca="1">IFERROR(SUMPRODUCT(UVG_Input_Data!AH59:$AZ59,OFFSET(Inputparam!$C$34:$AZ$34,0,0,1,49-UVG_Calculations!AG$56)), 0)</f>
        <v>0</v>
      </c>
      <c r="AH77" s="174">
        <f ca="1">IFERROR(SUMPRODUCT(UVG_Input_Data!AI59:$AZ59,OFFSET(Inputparam!$C$34:$AZ$34,0,0,1,49-UVG_Calculations!AH$56)), 0)</f>
        <v>0</v>
      </c>
      <c r="AI77" s="174">
        <f ca="1">IFERROR(SUMPRODUCT(UVG_Input_Data!AJ59:$AZ59,OFFSET(Inputparam!$C$34:$AZ$34,0,0,1,49-UVG_Calculations!AI$56)), 0)</f>
        <v>0</v>
      </c>
      <c r="AJ77" s="174">
        <f ca="1">IFERROR(SUMPRODUCT(UVG_Input_Data!AK59:$AZ59,OFFSET(Inputparam!$C$34:$AZ$34,0,0,1,49-UVG_Calculations!AJ$56)), 0)</f>
        <v>0</v>
      </c>
      <c r="AK77" s="174">
        <f ca="1">IFERROR(SUMPRODUCT(UVG_Input_Data!AL59:$AZ59,OFFSET(Inputparam!$C$34:$AZ$34,0,0,1,49-UVG_Calculations!AK$56)), 0)</f>
        <v>0</v>
      </c>
      <c r="AL77" s="174">
        <f ca="1">IFERROR(SUMPRODUCT(UVG_Input_Data!AM59:$AZ59,OFFSET(Inputparam!$C$34:$AZ$34,0,0,1,49-UVG_Calculations!AL$56)), 0)</f>
        <v>0</v>
      </c>
      <c r="AM77" s="174">
        <f ca="1">IFERROR(SUMPRODUCT(UVG_Input_Data!AN59:$AZ59,OFFSET(Inputparam!$C$34:$AZ$34,0,0,1,49-UVG_Calculations!AM$56)), 0)</f>
        <v>0</v>
      </c>
      <c r="AN77" s="174">
        <f ca="1">IFERROR(SUMPRODUCT(UVG_Input_Data!AO59:$AZ59,OFFSET(Inputparam!$C$34:$AZ$34,0,0,1,49-UVG_Calculations!AN$56)), 0)</f>
        <v>0</v>
      </c>
      <c r="AO77" s="174">
        <f ca="1">IFERROR(SUMPRODUCT(UVG_Input_Data!AP59:$AZ59,OFFSET(Inputparam!$C$34:$AZ$34,0,0,1,49-UVG_Calculations!AO$56)), 0)</f>
        <v>0</v>
      </c>
      <c r="AP77" s="174">
        <f ca="1">IFERROR(SUMPRODUCT(UVG_Input_Data!AQ59:$AZ59,OFFSET(Inputparam!$C$34:$AZ$34,0,0,1,49-UVG_Calculations!AP$56)), 0)</f>
        <v>0</v>
      </c>
      <c r="AQ77" s="174">
        <f ca="1">IFERROR(SUMPRODUCT(UVG_Input_Data!AR59:$AZ59,OFFSET(Inputparam!$C$34:$AZ$34,0,0,1,49-UVG_Calculations!AQ$56)), 0)</f>
        <v>0</v>
      </c>
      <c r="AR77" s="174">
        <f ca="1">IFERROR(SUMPRODUCT(UVG_Input_Data!AS59:$AZ59,OFFSET(Inputparam!$C$34:$AZ$34,0,0,1,49-UVG_Calculations!AR$56)), 0)</f>
        <v>0</v>
      </c>
      <c r="AS77" s="174">
        <f ca="1">IFERROR(SUMPRODUCT(UVG_Input_Data!AT59:$AZ59,OFFSET(Inputparam!$C$34:$AZ$34,0,0,1,49-UVG_Calculations!AS$56)), 0)</f>
        <v>0</v>
      </c>
      <c r="AT77" s="174">
        <f ca="1">IFERROR(SUMPRODUCT(UVG_Input_Data!AU59:$AZ59,OFFSET(Inputparam!$C$34:$AZ$34,0,0,1,49-UVG_Calculations!AT$56)), 0)</f>
        <v>0</v>
      </c>
      <c r="AU77" s="174">
        <f ca="1">IFERROR(SUMPRODUCT(UVG_Input_Data!AV59:$AZ59,OFFSET(Inputparam!$C$34:$AZ$34,0,0,1,49-UVG_Calculations!AU$56)), 0)</f>
        <v>0</v>
      </c>
      <c r="AV77" s="174">
        <f ca="1">IFERROR(SUMPRODUCT(UVG_Input_Data!AW59:$AZ59,OFFSET(Inputparam!$C$34:$AZ$34,0,0,1,49-UVG_Calculations!AV$56)), 0)</f>
        <v>0</v>
      </c>
      <c r="AW77" s="174">
        <f ca="1">IFERROR(SUMPRODUCT(UVG_Input_Data!AX59:$AZ59,OFFSET(Inputparam!$C$34:$AZ$34,0,0,1,49-UVG_Calculations!AW$56)), 0)</f>
        <v>0</v>
      </c>
      <c r="AX77" s="174">
        <f ca="1">IFERROR(SUMPRODUCT(UVG_Input_Data!AY59:$AZ59,OFFSET(Inputparam!$C$34:$AZ$34,0,0,1,49-UVG_Calculations!AX$56)), 0)</f>
        <v>0</v>
      </c>
      <c r="AY77" s="174">
        <f ca="1">IFERROR(SUMPRODUCT(UVG_Input_Data!AZ59:$AZ59,OFFSET(Inputparam!$C$34:$AZ$34,0,0,1,49-UVG_Calculations!AY$56)), 0)</f>
        <v>0</v>
      </c>
      <c r="AZ77" s="174">
        <f ca="1">IFERROR(SUMPRODUCT(UVG_Input_Data!$AZ59:BA59,OFFSET(Inputparam!$C$34:$AZ$34,0,0,1,49-UVG_Calculations!AZ$56)), 0)</f>
        <v>0</v>
      </c>
    </row>
    <row r="78" spans="2:52">
      <c r="B78" s="173" t="s">
        <v>578</v>
      </c>
      <c r="C78" s="171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174">
        <f ca="1">IFERROR(SUMPRODUCT(UVG_Input_Data!X60:$AZ60,OFFSET(Inputparam!$C$34:$AZ$34,0,0,1,49-UVG_Calculations!W$56)), 0)</f>
        <v>0</v>
      </c>
      <c r="X78" s="174">
        <f ca="1">IFERROR(SUMPRODUCT(UVG_Input_Data!Y60:$AZ60,OFFSET(Inputparam!$C$34:$AZ$34,0,0,1,49-UVG_Calculations!X$56)), 0)</f>
        <v>0</v>
      </c>
      <c r="Y78" s="174">
        <f ca="1">IFERROR(SUMPRODUCT(UVG_Input_Data!Z60:$AZ60,OFFSET(Inputparam!$C$34:$AZ$34,0,0,1,49-UVG_Calculations!Y$56)), 0)</f>
        <v>0</v>
      </c>
      <c r="Z78" s="174">
        <f ca="1">IFERROR(SUMPRODUCT(UVG_Input_Data!AA60:$AZ60,OFFSET(Inputparam!$C$34:$AZ$34,0,0,1,49-UVG_Calculations!Z$56)), 0)</f>
        <v>0</v>
      </c>
      <c r="AA78" s="174">
        <f ca="1">IFERROR(SUMPRODUCT(UVG_Input_Data!AB60:$AZ60,OFFSET(Inputparam!$C$34:$AZ$34,0,0,1,49-UVG_Calculations!AA$56)), 0)</f>
        <v>0</v>
      </c>
      <c r="AB78" s="174">
        <f ca="1">IFERROR(SUMPRODUCT(UVG_Input_Data!AC60:$AZ60,OFFSET(Inputparam!$C$34:$AZ$34,0,0,1,49-UVG_Calculations!AB$56)), 0)</f>
        <v>0</v>
      </c>
      <c r="AC78" s="174">
        <f ca="1">IFERROR(SUMPRODUCT(UVG_Input_Data!AD60:$AZ60,OFFSET(Inputparam!$C$34:$AZ$34,0,0,1,49-UVG_Calculations!AC$56)), 0)</f>
        <v>0</v>
      </c>
      <c r="AD78" s="174">
        <f ca="1">IFERROR(SUMPRODUCT(UVG_Input_Data!AE60:$AZ60,OFFSET(Inputparam!$C$34:$AZ$34,0,0,1,49-UVG_Calculations!AD$56)), 0)</f>
        <v>0</v>
      </c>
      <c r="AE78" s="174">
        <f ca="1">IFERROR(SUMPRODUCT(UVG_Input_Data!AF60:$AZ60,OFFSET(Inputparam!$C$34:$AZ$34,0,0,1,49-UVG_Calculations!AE$56)), 0)</f>
        <v>0</v>
      </c>
      <c r="AF78" s="174">
        <f ca="1">IFERROR(SUMPRODUCT(UVG_Input_Data!AG60:$AZ60,OFFSET(Inputparam!$C$34:$AZ$34,0,0,1,49-UVG_Calculations!AF$56)), 0)</f>
        <v>0</v>
      </c>
      <c r="AG78" s="174">
        <f ca="1">IFERROR(SUMPRODUCT(UVG_Input_Data!AH60:$AZ60,OFFSET(Inputparam!$C$34:$AZ$34,0,0,1,49-UVG_Calculations!AG$56)), 0)</f>
        <v>0</v>
      </c>
      <c r="AH78" s="174">
        <f ca="1">IFERROR(SUMPRODUCT(UVG_Input_Data!AI60:$AZ60,OFFSET(Inputparam!$C$34:$AZ$34,0,0,1,49-UVG_Calculations!AH$56)), 0)</f>
        <v>0</v>
      </c>
      <c r="AI78" s="174">
        <f ca="1">IFERROR(SUMPRODUCT(UVG_Input_Data!AJ60:$AZ60,OFFSET(Inputparam!$C$34:$AZ$34,0,0,1,49-UVG_Calculations!AI$56)), 0)</f>
        <v>0</v>
      </c>
      <c r="AJ78" s="174">
        <f ca="1">IFERROR(SUMPRODUCT(UVG_Input_Data!AK60:$AZ60,OFFSET(Inputparam!$C$34:$AZ$34,0,0,1,49-UVG_Calculations!AJ$56)), 0)</f>
        <v>0</v>
      </c>
      <c r="AK78" s="174">
        <f ca="1">IFERROR(SUMPRODUCT(UVG_Input_Data!AL60:$AZ60,OFFSET(Inputparam!$C$34:$AZ$34,0,0,1,49-UVG_Calculations!AK$56)), 0)</f>
        <v>0</v>
      </c>
      <c r="AL78" s="174">
        <f ca="1">IFERROR(SUMPRODUCT(UVG_Input_Data!AM60:$AZ60,OFFSET(Inputparam!$C$34:$AZ$34,0,0,1,49-UVG_Calculations!AL$56)), 0)</f>
        <v>0</v>
      </c>
      <c r="AM78" s="174">
        <f ca="1">IFERROR(SUMPRODUCT(UVG_Input_Data!AN60:$AZ60,OFFSET(Inputparam!$C$34:$AZ$34,0,0,1,49-UVG_Calculations!AM$56)), 0)</f>
        <v>0</v>
      </c>
      <c r="AN78" s="174">
        <f ca="1">IFERROR(SUMPRODUCT(UVG_Input_Data!AO60:$AZ60,OFFSET(Inputparam!$C$34:$AZ$34,0,0,1,49-UVG_Calculations!AN$56)), 0)</f>
        <v>0</v>
      </c>
      <c r="AO78" s="174">
        <f ca="1">IFERROR(SUMPRODUCT(UVG_Input_Data!AP60:$AZ60,OFFSET(Inputparam!$C$34:$AZ$34,0,0,1,49-UVG_Calculations!AO$56)), 0)</f>
        <v>0</v>
      </c>
      <c r="AP78" s="174">
        <f ca="1">IFERROR(SUMPRODUCT(UVG_Input_Data!AQ60:$AZ60,OFFSET(Inputparam!$C$34:$AZ$34,0,0,1,49-UVG_Calculations!AP$56)), 0)</f>
        <v>0</v>
      </c>
      <c r="AQ78" s="174">
        <f ca="1">IFERROR(SUMPRODUCT(UVG_Input_Data!AR60:$AZ60,OFFSET(Inputparam!$C$34:$AZ$34,0,0,1,49-UVG_Calculations!AQ$56)), 0)</f>
        <v>0</v>
      </c>
      <c r="AR78" s="174">
        <f ca="1">IFERROR(SUMPRODUCT(UVG_Input_Data!AS60:$AZ60,OFFSET(Inputparam!$C$34:$AZ$34,0,0,1,49-UVG_Calculations!AR$56)), 0)</f>
        <v>0</v>
      </c>
      <c r="AS78" s="174">
        <f ca="1">IFERROR(SUMPRODUCT(UVG_Input_Data!AT60:$AZ60,OFFSET(Inputparam!$C$34:$AZ$34,0,0,1,49-UVG_Calculations!AS$56)), 0)</f>
        <v>0</v>
      </c>
      <c r="AT78" s="174">
        <f ca="1">IFERROR(SUMPRODUCT(UVG_Input_Data!AU60:$AZ60,OFFSET(Inputparam!$C$34:$AZ$34,0,0,1,49-UVG_Calculations!AT$56)), 0)</f>
        <v>0</v>
      </c>
      <c r="AU78" s="174">
        <f ca="1">IFERROR(SUMPRODUCT(UVG_Input_Data!AV60:$AZ60,OFFSET(Inputparam!$C$34:$AZ$34,0,0,1,49-UVG_Calculations!AU$56)), 0)</f>
        <v>0</v>
      </c>
      <c r="AV78" s="174">
        <f ca="1">IFERROR(SUMPRODUCT(UVG_Input_Data!AW60:$AZ60,OFFSET(Inputparam!$C$34:$AZ$34,0,0,1,49-UVG_Calculations!AV$56)), 0)</f>
        <v>0</v>
      </c>
      <c r="AW78" s="174">
        <f ca="1">IFERROR(SUMPRODUCT(UVG_Input_Data!AX60:$AZ60,OFFSET(Inputparam!$C$34:$AZ$34,0,0,1,49-UVG_Calculations!AW$56)), 0)</f>
        <v>0</v>
      </c>
      <c r="AX78" s="174">
        <f ca="1">IFERROR(SUMPRODUCT(UVG_Input_Data!AY60:$AZ60,OFFSET(Inputparam!$C$34:$AZ$34,0,0,1,49-UVG_Calculations!AX$56)), 0)</f>
        <v>0</v>
      </c>
      <c r="AY78" s="174">
        <f ca="1">IFERROR(SUMPRODUCT(UVG_Input_Data!AZ60:$AZ60,OFFSET(Inputparam!$C$34:$AZ$34,0,0,1,49-UVG_Calculations!AY$56)), 0)</f>
        <v>0</v>
      </c>
      <c r="AZ78" s="174">
        <f ca="1">IFERROR(SUMPRODUCT(UVG_Input_Data!$AZ60:BA60,OFFSET(Inputparam!$C$34:$AZ$34,0,0,1,49-UVG_Calculations!AZ$56)), 0)</f>
        <v>0</v>
      </c>
    </row>
  </sheetData>
  <mergeCells count="1">
    <mergeCell ref="B53:N53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D1837-2FCB-4D98-8BCF-EA4F17A8104D}">
  <sheetPr>
    <tabColor rgb="FF00539E"/>
  </sheetPr>
  <dimension ref="A1:AZ36"/>
  <sheetViews>
    <sheetView showGridLines="0" zoomScale="90" zoomScaleNormal="90" workbookViewId="0">
      <selection activeCell="E22" sqref="E22"/>
    </sheetView>
  </sheetViews>
  <sheetFormatPr defaultColWidth="9.140625" defaultRowHeight="12.75"/>
  <cols>
    <col min="1" max="1" width="4.5703125" customWidth="1"/>
    <col min="2" max="2" width="68.140625" customWidth="1"/>
    <col min="3" max="3" width="27.85546875" customWidth="1"/>
    <col min="4" max="4" width="15.85546875" customWidth="1"/>
    <col min="5" max="5" width="12.85546875" customWidth="1"/>
    <col min="6" max="6" width="19.140625" customWidth="1"/>
    <col min="7" max="7" width="10.5703125" customWidth="1"/>
    <col min="8" max="8" width="10.42578125" customWidth="1"/>
    <col min="9" max="10" width="12.5703125" customWidth="1"/>
    <col min="11" max="11" width="13.42578125" customWidth="1"/>
    <col min="12" max="12" width="9.42578125" customWidth="1"/>
    <col min="14" max="14" width="13.5703125" customWidth="1"/>
  </cols>
  <sheetData>
    <row r="1" spans="1:52" s="3" customFormat="1" ht="20.100000000000001" customHeight="1">
      <c r="A1" s="1">
        <v>6</v>
      </c>
      <c r="B1" s="159" t="s">
        <v>9</v>
      </c>
    </row>
    <row r="4" spans="1:52" ht="15">
      <c r="B4" s="4" t="s">
        <v>10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6" spans="1:52" ht="38.25" customHeight="1">
      <c r="B6" s="228" t="s">
        <v>11</v>
      </c>
      <c r="C6" s="229"/>
      <c r="D6" s="229"/>
    </row>
    <row r="7" spans="1:52" ht="40.5" customHeight="1">
      <c r="A7" s="9"/>
      <c r="B7" s="9"/>
      <c r="C7" s="230" t="s">
        <v>12</v>
      </c>
      <c r="D7" s="231"/>
    </row>
    <row r="8" spans="1:52" ht="30.75" customHeight="1">
      <c r="A8" s="10" t="s">
        <v>13</v>
      </c>
      <c r="B8" s="11" t="s">
        <v>14</v>
      </c>
      <c r="C8" s="11" t="s">
        <v>15</v>
      </c>
    </row>
    <row r="9" spans="1:52">
      <c r="A9" s="12"/>
      <c r="B9" s="12"/>
      <c r="C9" s="12" t="s">
        <v>16</v>
      </c>
    </row>
    <row r="10" spans="1:52">
      <c r="A10" s="13" t="s">
        <v>17</v>
      </c>
      <c r="B10" s="13" t="s">
        <v>18</v>
      </c>
      <c r="C10" s="198">
        <f>UVG_Calculations!E9 + UVG_Calculations!E10 + UVG_Calculations!E11 + SUM(UVG_Calculations!C31:AZ31)</f>
        <v>0</v>
      </c>
      <c r="D10" s="14"/>
      <c r="E10" s="14"/>
      <c r="F10" s="14"/>
    </row>
    <row r="11" spans="1:52">
      <c r="A11" s="13" t="s">
        <v>19</v>
      </c>
      <c r="B11" s="13" t="s">
        <v>20</v>
      </c>
      <c r="C11" s="198">
        <f ca="1">UVG_Calculations!E8 + SUM(UVG_Calculations!C28:AZ28) + SUM(UVG_Calculations!C30:AZ30) +UVG_Calculations!E15 + UVG_Calculations!E16</f>
        <v>0</v>
      </c>
      <c r="D11" s="14"/>
      <c r="E11" s="14"/>
      <c r="F11" s="14"/>
    </row>
    <row r="12" spans="1:52">
      <c r="C12" s="99"/>
      <c r="D12" s="99"/>
      <c r="E12" s="100"/>
      <c r="F12" s="15"/>
    </row>
    <row r="13" spans="1:52">
      <c r="C13" s="99"/>
      <c r="D13" s="99"/>
      <c r="E13" s="100"/>
      <c r="F13" s="15"/>
    </row>
    <row r="14" spans="1:52" ht="25.5" customHeight="1">
      <c r="B14" s="225" t="s">
        <v>21</v>
      </c>
      <c r="C14" s="227"/>
      <c r="D14" s="227"/>
      <c r="E14" s="227"/>
    </row>
    <row r="15" spans="1:52">
      <c r="A15" s="10" t="s">
        <v>13</v>
      </c>
      <c r="B15" s="232" t="s">
        <v>22</v>
      </c>
      <c r="C15" s="8">
        <v>0</v>
      </c>
      <c r="D15" s="8">
        <v>1</v>
      </c>
      <c r="E15" s="8">
        <v>2</v>
      </c>
      <c r="F15" s="8">
        <v>3</v>
      </c>
      <c r="G15" s="8">
        <v>4</v>
      </c>
      <c r="H15" s="8">
        <v>5</v>
      </c>
      <c r="I15" s="8">
        <v>6</v>
      </c>
      <c r="J15" s="8">
        <v>7</v>
      </c>
      <c r="K15" s="8">
        <v>8</v>
      </c>
      <c r="L15" s="8">
        <v>9</v>
      </c>
      <c r="M15" s="8">
        <v>10</v>
      </c>
      <c r="N15" s="8">
        <v>11</v>
      </c>
      <c r="O15" s="8">
        <v>12</v>
      </c>
      <c r="P15" s="8">
        <v>13</v>
      </c>
      <c r="Q15" s="8">
        <v>14</v>
      </c>
      <c r="R15" s="8">
        <v>15</v>
      </c>
      <c r="S15" s="8">
        <v>16</v>
      </c>
      <c r="T15" s="8">
        <v>17</v>
      </c>
      <c r="U15" s="8">
        <v>18</v>
      </c>
      <c r="V15" s="8">
        <v>19</v>
      </c>
      <c r="W15" s="8">
        <v>20</v>
      </c>
      <c r="X15" s="8">
        <v>21</v>
      </c>
      <c r="Y15" s="8">
        <v>22</v>
      </c>
      <c r="Z15" s="8">
        <v>23</v>
      </c>
      <c r="AA15" s="8">
        <v>24</v>
      </c>
      <c r="AB15" s="8">
        <v>25</v>
      </c>
      <c r="AC15" s="8">
        <v>26</v>
      </c>
      <c r="AD15" s="8">
        <v>27</v>
      </c>
      <c r="AE15" s="8">
        <v>28</v>
      </c>
      <c r="AF15" s="8">
        <v>29</v>
      </c>
      <c r="AG15" s="8">
        <v>30</v>
      </c>
      <c r="AH15" s="8">
        <v>31</v>
      </c>
      <c r="AI15" s="8">
        <v>32</v>
      </c>
      <c r="AJ15" s="8">
        <v>33</v>
      </c>
      <c r="AK15" s="8">
        <v>34</v>
      </c>
      <c r="AL15" s="8">
        <v>35</v>
      </c>
      <c r="AM15" s="8">
        <v>36</v>
      </c>
      <c r="AN15" s="8">
        <v>37</v>
      </c>
      <c r="AO15" s="8">
        <v>38</v>
      </c>
      <c r="AP15" s="8">
        <v>39</v>
      </c>
      <c r="AQ15" s="8">
        <v>40</v>
      </c>
      <c r="AR15" s="8">
        <v>41</v>
      </c>
      <c r="AS15" s="8">
        <v>42</v>
      </c>
      <c r="AT15" s="8">
        <v>43</v>
      </c>
      <c r="AU15" s="8">
        <v>44</v>
      </c>
      <c r="AV15" s="8">
        <v>45</v>
      </c>
      <c r="AW15" s="8">
        <v>46</v>
      </c>
      <c r="AX15" s="8">
        <v>47</v>
      </c>
      <c r="AY15" s="8">
        <v>48</v>
      </c>
      <c r="AZ15" s="8">
        <v>49</v>
      </c>
    </row>
    <row r="16" spans="1:52" ht="37.5" customHeight="1">
      <c r="A16" s="12"/>
      <c r="B16" s="233"/>
      <c r="C16" s="101">
        <f>Intro_SM_UVG_Valuation!E1</f>
        <v>2025</v>
      </c>
      <c r="D16" s="101">
        <f t="shared" ref="D16:AZ16" si="0">C16+1</f>
        <v>2026</v>
      </c>
      <c r="E16" s="101">
        <f t="shared" si="0"/>
        <v>2027</v>
      </c>
      <c r="F16" s="101">
        <f t="shared" si="0"/>
        <v>2028</v>
      </c>
      <c r="G16" s="101">
        <f t="shared" si="0"/>
        <v>2029</v>
      </c>
      <c r="H16" s="101">
        <f t="shared" si="0"/>
        <v>2030</v>
      </c>
      <c r="I16" s="101">
        <f t="shared" si="0"/>
        <v>2031</v>
      </c>
      <c r="J16" s="101">
        <f t="shared" si="0"/>
        <v>2032</v>
      </c>
      <c r="K16" s="101">
        <f t="shared" si="0"/>
        <v>2033</v>
      </c>
      <c r="L16" s="101">
        <f t="shared" si="0"/>
        <v>2034</v>
      </c>
      <c r="M16" s="101">
        <f t="shared" si="0"/>
        <v>2035</v>
      </c>
      <c r="N16" s="101">
        <f t="shared" si="0"/>
        <v>2036</v>
      </c>
      <c r="O16" s="101">
        <f t="shared" si="0"/>
        <v>2037</v>
      </c>
      <c r="P16" s="101">
        <f t="shared" si="0"/>
        <v>2038</v>
      </c>
      <c r="Q16" s="101">
        <f t="shared" si="0"/>
        <v>2039</v>
      </c>
      <c r="R16" s="101">
        <f t="shared" si="0"/>
        <v>2040</v>
      </c>
      <c r="S16" s="101">
        <f t="shared" si="0"/>
        <v>2041</v>
      </c>
      <c r="T16" s="101">
        <f t="shared" si="0"/>
        <v>2042</v>
      </c>
      <c r="U16" s="101">
        <f t="shared" si="0"/>
        <v>2043</v>
      </c>
      <c r="V16" s="101">
        <f t="shared" si="0"/>
        <v>2044</v>
      </c>
      <c r="W16" s="101">
        <f t="shared" si="0"/>
        <v>2045</v>
      </c>
      <c r="X16" s="101">
        <f t="shared" si="0"/>
        <v>2046</v>
      </c>
      <c r="Y16" s="101">
        <f t="shared" si="0"/>
        <v>2047</v>
      </c>
      <c r="Z16" s="101">
        <f t="shared" si="0"/>
        <v>2048</v>
      </c>
      <c r="AA16" s="101">
        <f t="shared" si="0"/>
        <v>2049</v>
      </c>
      <c r="AB16" s="101">
        <f t="shared" si="0"/>
        <v>2050</v>
      </c>
      <c r="AC16" s="101">
        <f t="shared" si="0"/>
        <v>2051</v>
      </c>
      <c r="AD16" s="101">
        <f t="shared" si="0"/>
        <v>2052</v>
      </c>
      <c r="AE16" s="101">
        <f t="shared" si="0"/>
        <v>2053</v>
      </c>
      <c r="AF16" s="101">
        <f t="shared" si="0"/>
        <v>2054</v>
      </c>
      <c r="AG16" s="101">
        <f t="shared" si="0"/>
        <v>2055</v>
      </c>
      <c r="AH16" s="101">
        <f t="shared" si="0"/>
        <v>2056</v>
      </c>
      <c r="AI16" s="101">
        <f t="shared" si="0"/>
        <v>2057</v>
      </c>
      <c r="AJ16" s="101">
        <f t="shared" si="0"/>
        <v>2058</v>
      </c>
      <c r="AK16" s="101">
        <f t="shared" si="0"/>
        <v>2059</v>
      </c>
      <c r="AL16" s="101">
        <f t="shared" si="0"/>
        <v>2060</v>
      </c>
      <c r="AM16" s="101">
        <f t="shared" si="0"/>
        <v>2061</v>
      </c>
      <c r="AN16" s="101">
        <f t="shared" si="0"/>
        <v>2062</v>
      </c>
      <c r="AO16" s="101">
        <f t="shared" si="0"/>
        <v>2063</v>
      </c>
      <c r="AP16" s="101">
        <f t="shared" si="0"/>
        <v>2064</v>
      </c>
      <c r="AQ16" s="101">
        <f t="shared" si="0"/>
        <v>2065</v>
      </c>
      <c r="AR16" s="101">
        <f t="shared" si="0"/>
        <v>2066</v>
      </c>
      <c r="AS16" s="101">
        <f t="shared" si="0"/>
        <v>2067</v>
      </c>
      <c r="AT16" s="101">
        <f t="shared" si="0"/>
        <v>2068</v>
      </c>
      <c r="AU16" s="101">
        <f t="shared" si="0"/>
        <v>2069</v>
      </c>
      <c r="AV16" s="101">
        <f t="shared" si="0"/>
        <v>2070</v>
      </c>
      <c r="AW16" s="101">
        <f t="shared" si="0"/>
        <v>2071</v>
      </c>
      <c r="AX16" s="101">
        <f t="shared" si="0"/>
        <v>2072</v>
      </c>
      <c r="AY16" s="101">
        <f t="shared" si="0"/>
        <v>2073</v>
      </c>
      <c r="AZ16" s="101">
        <f t="shared" si="0"/>
        <v>2074</v>
      </c>
    </row>
    <row r="17" spans="1:52">
      <c r="A17" s="13" t="s">
        <v>17</v>
      </c>
      <c r="B17" s="13" t="s">
        <v>18</v>
      </c>
      <c r="C17" s="102" t="e">
        <f>((UVG_Input_Data!$D$11 + UVG_Input_Data!$D$14 + UVG_Input_Data!$D$15) * UVG_Input_Data!C27 + UVG_Calculations!C31)/UVG_Output!$C$10</f>
        <v>#DIV/0!</v>
      </c>
      <c r="D17" s="102" t="e">
        <f>((UVG_Input_Data!$D$11 + UVG_Input_Data!$D$14 + UVG_Input_Data!$D$15) * UVG_Input_Data!D27 + UVG_Calculations!D31)/UVG_Output!$C$10</f>
        <v>#DIV/0!</v>
      </c>
      <c r="E17" s="102" t="e">
        <f>((UVG_Input_Data!$D$11 + UVG_Input_Data!$D$14 + UVG_Input_Data!$D$15) * UVG_Input_Data!E27 + UVG_Calculations!E31)/UVG_Output!$C$10</f>
        <v>#DIV/0!</v>
      </c>
      <c r="F17" s="102" t="e">
        <f>((UVG_Input_Data!$D$11 + UVG_Input_Data!$D$14 + UVG_Input_Data!$D$15) * UVG_Input_Data!F27 + UVG_Calculations!F31)/UVG_Output!$C$10</f>
        <v>#DIV/0!</v>
      </c>
      <c r="G17" s="102" t="e">
        <f>((UVG_Input_Data!$D$11 + UVG_Input_Data!$D$14 + UVG_Input_Data!$D$15) * UVG_Input_Data!G27 + UVG_Calculations!G31)/UVG_Output!$C$10</f>
        <v>#DIV/0!</v>
      </c>
      <c r="H17" s="102" t="e">
        <f>((UVG_Input_Data!$D$11 + UVG_Input_Data!$D$14 + UVG_Input_Data!$D$15) * UVG_Input_Data!H27 + UVG_Calculations!H31)/UVG_Output!$C$10</f>
        <v>#DIV/0!</v>
      </c>
      <c r="I17" s="102" t="e">
        <f>((UVG_Input_Data!$D$11 + UVG_Input_Data!$D$14 + UVG_Input_Data!$D$15) * UVG_Input_Data!I27 + UVG_Calculations!I31)/UVG_Output!$C$10</f>
        <v>#DIV/0!</v>
      </c>
      <c r="J17" s="102" t="e">
        <f>((UVG_Input_Data!$D$11 + UVG_Input_Data!$D$14 + UVG_Input_Data!$D$15) * UVG_Input_Data!J27 + UVG_Calculations!J31)/UVG_Output!$C$10</f>
        <v>#DIV/0!</v>
      </c>
      <c r="K17" s="102" t="e">
        <f>((UVG_Input_Data!$D$11 + UVG_Input_Data!$D$14 + UVG_Input_Data!$D$15) * UVG_Input_Data!K27 + UVG_Calculations!K31)/UVG_Output!$C$10</f>
        <v>#DIV/0!</v>
      </c>
      <c r="L17" s="102" t="e">
        <f>((UVG_Input_Data!$D$11 + UVG_Input_Data!$D$14 + UVG_Input_Data!$D$15) * UVG_Input_Data!L27 + UVG_Calculations!L31)/UVG_Output!$C$10</f>
        <v>#DIV/0!</v>
      </c>
      <c r="M17" s="102" t="e">
        <f>((UVG_Input_Data!$D$11 + UVG_Input_Data!$D$14 + UVG_Input_Data!$D$15) * UVG_Input_Data!M27 + UVG_Calculations!M31)/UVG_Output!$C$10</f>
        <v>#DIV/0!</v>
      </c>
      <c r="N17" s="102" t="e">
        <f>((UVG_Input_Data!$D$11 + UVG_Input_Data!$D$14 + UVG_Input_Data!$D$15) * UVG_Input_Data!N27 + UVG_Calculations!N31)/UVG_Output!$C$10</f>
        <v>#DIV/0!</v>
      </c>
      <c r="O17" s="102" t="e">
        <f>((UVG_Input_Data!$D$11 + UVG_Input_Data!$D$14 + UVG_Input_Data!$D$15) * UVG_Input_Data!O27 + UVG_Calculations!O31)/UVG_Output!$C$10</f>
        <v>#DIV/0!</v>
      </c>
      <c r="P17" s="102" t="e">
        <f>((UVG_Input_Data!$D$11 + UVG_Input_Data!$D$14 + UVG_Input_Data!$D$15) * UVG_Input_Data!P27 + UVG_Calculations!P31)/UVG_Output!$C$10</f>
        <v>#DIV/0!</v>
      </c>
      <c r="Q17" s="102" t="e">
        <f>((UVG_Input_Data!$D$11 + UVG_Input_Data!$D$14 + UVG_Input_Data!$D$15) * UVG_Input_Data!Q27 + UVG_Calculations!Q31)/UVG_Output!$C$10</f>
        <v>#DIV/0!</v>
      </c>
      <c r="R17" s="102" t="e">
        <f>((UVG_Input_Data!$D$11 + UVG_Input_Data!$D$14 + UVG_Input_Data!$D$15) * UVG_Input_Data!R27 + UVG_Calculations!R31)/UVG_Output!$C$10</f>
        <v>#DIV/0!</v>
      </c>
      <c r="S17" s="102" t="e">
        <f>((UVG_Input_Data!$D$11 + UVG_Input_Data!$D$14 + UVG_Input_Data!$D$15) * UVG_Input_Data!S27 + UVG_Calculations!S31)/UVG_Output!$C$10</f>
        <v>#DIV/0!</v>
      </c>
      <c r="T17" s="102" t="e">
        <f>((UVG_Input_Data!$D$11 + UVG_Input_Data!$D$14 + UVG_Input_Data!$D$15) * UVG_Input_Data!T27 + UVG_Calculations!T31)/UVG_Output!$C$10</f>
        <v>#DIV/0!</v>
      </c>
      <c r="U17" s="102" t="e">
        <f>((UVG_Input_Data!$D$11 + UVG_Input_Data!$D$14 + UVG_Input_Data!$D$15) * UVG_Input_Data!U27 + UVG_Calculations!U31)/UVG_Output!$C$10</f>
        <v>#DIV/0!</v>
      </c>
      <c r="V17" s="102" t="e">
        <f>((UVG_Input_Data!$D$11 + UVG_Input_Data!$D$14 + UVG_Input_Data!$D$15) * UVG_Input_Data!V27 + UVG_Calculations!V31)/UVG_Output!$C$10</f>
        <v>#DIV/0!</v>
      </c>
      <c r="W17" s="102" t="e">
        <f>((UVG_Input_Data!$D$11 + UVG_Input_Data!$D$14 + UVG_Input_Data!$D$15) * UVG_Input_Data!W27 + UVG_Calculations!W31)/UVG_Output!$C$10</f>
        <v>#DIV/0!</v>
      </c>
      <c r="X17" s="102" t="e">
        <f>((UVG_Input_Data!$D$11 + UVG_Input_Data!$D$14 + UVG_Input_Data!$D$15) * UVG_Input_Data!X27 + UVG_Calculations!X31)/UVG_Output!$C$10</f>
        <v>#DIV/0!</v>
      </c>
      <c r="Y17" s="102" t="e">
        <f>((UVG_Input_Data!$D$11 + UVG_Input_Data!$D$14 + UVG_Input_Data!$D$15) * UVG_Input_Data!Y27 + UVG_Calculations!Y31)/UVG_Output!$C$10</f>
        <v>#DIV/0!</v>
      </c>
      <c r="Z17" s="102" t="e">
        <f>((UVG_Input_Data!$D$11 + UVG_Input_Data!$D$14 + UVG_Input_Data!$D$15) * UVG_Input_Data!Z27 + UVG_Calculations!Z31)/UVG_Output!$C$10</f>
        <v>#DIV/0!</v>
      </c>
      <c r="AA17" s="102" t="e">
        <f>((UVG_Input_Data!$D$11 + UVG_Input_Data!$D$14 + UVG_Input_Data!$D$15) * UVG_Input_Data!AA27 + UVG_Calculations!AA31)/UVG_Output!$C$10</f>
        <v>#DIV/0!</v>
      </c>
      <c r="AB17" s="102" t="e">
        <f>((UVG_Input_Data!$D$11 + UVG_Input_Data!$D$14 + UVG_Input_Data!$D$15) * UVG_Input_Data!AB27 + UVG_Calculations!AB31)/UVG_Output!$C$10</f>
        <v>#DIV/0!</v>
      </c>
      <c r="AC17" s="102" t="e">
        <f>((UVG_Input_Data!$D$11 + UVG_Input_Data!$D$14 + UVG_Input_Data!$D$15) * UVG_Input_Data!AC27 + UVG_Calculations!AC31)/UVG_Output!$C$10</f>
        <v>#DIV/0!</v>
      </c>
      <c r="AD17" s="102" t="e">
        <f>((UVG_Input_Data!$D$11 + UVG_Input_Data!$D$14 + UVG_Input_Data!$D$15) * UVG_Input_Data!AD27 + UVG_Calculations!AD31)/UVG_Output!$C$10</f>
        <v>#DIV/0!</v>
      </c>
      <c r="AE17" s="102" t="e">
        <f>((UVG_Input_Data!$D$11 + UVG_Input_Data!$D$14 + UVG_Input_Data!$D$15) * UVG_Input_Data!AE27 + UVG_Calculations!AE31)/UVG_Output!$C$10</f>
        <v>#DIV/0!</v>
      </c>
      <c r="AF17" s="102" t="e">
        <f>((UVG_Input_Data!$D$11 + UVG_Input_Data!$D$14 + UVG_Input_Data!$D$15) * UVG_Input_Data!AF27 + UVG_Calculations!AF31)/UVG_Output!$C$10</f>
        <v>#DIV/0!</v>
      </c>
      <c r="AG17" s="102" t="e">
        <f>((UVG_Input_Data!$D$11 + UVG_Input_Data!$D$14 + UVG_Input_Data!$D$15) * UVG_Input_Data!AG27 + UVG_Calculations!AG31)/UVG_Output!$C$10</f>
        <v>#DIV/0!</v>
      </c>
      <c r="AH17" s="102" t="e">
        <f>((UVG_Input_Data!$D$11 + UVG_Input_Data!$D$14 + UVG_Input_Data!$D$15) * UVG_Input_Data!AH27 + UVG_Calculations!AH31)/UVG_Output!$C$10</f>
        <v>#DIV/0!</v>
      </c>
      <c r="AI17" s="102" t="e">
        <f>((UVG_Input_Data!$D$11 + UVG_Input_Data!$D$14 + UVG_Input_Data!$D$15) * UVG_Input_Data!AI27 + UVG_Calculations!AI31)/UVG_Output!$C$10</f>
        <v>#DIV/0!</v>
      </c>
      <c r="AJ17" s="102" t="e">
        <f>((UVG_Input_Data!$D$11 + UVG_Input_Data!$D$14 + UVG_Input_Data!$D$15) * UVG_Input_Data!AJ27 + UVG_Calculations!AJ31)/UVG_Output!$C$10</f>
        <v>#DIV/0!</v>
      </c>
      <c r="AK17" s="102" t="e">
        <f>((UVG_Input_Data!$D$11 + UVG_Input_Data!$D$14 + UVG_Input_Data!$D$15) * UVG_Input_Data!AK27 + UVG_Calculations!AK31)/UVG_Output!$C$10</f>
        <v>#DIV/0!</v>
      </c>
      <c r="AL17" s="102" t="e">
        <f>((UVG_Input_Data!$D$11 + UVG_Input_Data!$D$14 + UVG_Input_Data!$D$15) * UVG_Input_Data!AL27 + UVG_Calculations!AL31)/UVG_Output!$C$10</f>
        <v>#DIV/0!</v>
      </c>
      <c r="AM17" s="102" t="e">
        <f>((UVG_Input_Data!$D$11 + UVG_Input_Data!$D$14 + UVG_Input_Data!$D$15) * UVG_Input_Data!AM27 + UVG_Calculations!AM31)/UVG_Output!$C$10</f>
        <v>#DIV/0!</v>
      </c>
      <c r="AN17" s="102" t="e">
        <f>((UVG_Input_Data!$D$11 + UVG_Input_Data!$D$14 + UVG_Input_Data!$D$15) * UVG_Input_Data!AN27 + UVG_Calculations!AN31)/UVG_Output!$C$10</f>
        <v>#DIV/0!</v>
      </c>
      <c r="AO17" s="102" t="e">
        <f>((UVG_Input_Data!$D$11 + UVG_Input_Data!$D$14 + UVG_Input_Data!$D$15) * UVG_Input_Data!AO27 + UVG_Calculations!AO31)/UVG_Output!$C$10</f>
        <v>#DIV/0!</v>
      </c>
      <c r="AP17" s="102" t="e">
        <f>((UVG_Input_Data!$D$11 + UVG_Input_Data!$D$14 + UVG_Input_Data!$D$15) * UVG_Input_Data!AP27 + UVG_Calculations!AP31)/UVG_Output!$C$10</f>
        <v>#DIV/0!</v>
      </c>
      <c r="AQ17" s="102" t="e">
        <f>((UVG_Input_Data!$D$11 + UVG_Input_Data!$D$14 + UVG_Input_Data!$D$15) * UVG_Input_Data!AQ27 + UVG_Calculations!AQ31)/UVG_Output!$C$10</f>
        <v>#DIV/0!</v>
      </c>
      <c r="AR17" s="102" t="e">
        <f>((UVG_Input_Data!$D$11 + UVG_Input_Data!$D$14 + UVG_Input_Data!$D$15) * UVG_Input_Data!AR27 + UVG_Calculations!AR31)/UVG_Output!$C$10</f>
        <v>#DIV/0!</v>
      </c>
      <c r="AS17" s="102" t="e">
        <f>((UVG_Input_Data!$D$11 + UVG_Input_Data!$D$14 + UVG_Input_Data!$D$15) * UVG_Input_Data!AS27 + UVG_Calculations!AS31)/UVG_Output!$C$10</f>
        <v>#DIV/0!</v>
      </c>
      <c r="AT17" s="102" t="e">
        <f>((UVG_Input_Data!$D$11 + UVG_Input_Data!$D$14 + UVG_Input_Data!$D$15) * UVG_Input_Data!AT27 + UVG_Calculations!AT31)/UVG_Output!$C$10</f>
        <v>#DIV/0!</v>
      </c>
      <c r="AU17" s="102" t="e">
        <f>((UVG_Input_Data!$D$11 + UVG_Input_Data!$D$14 + UVG_Input_Data!$D$15) * UVG_Input_Data!AU27 + UVG_Calculations!AU31)/UVG_Output!$C$10</f>
        <v>#DIV/0!</v>
      </c>
      <c r="AV17" s="102" t="e">
        <f>((UVG_Input_Data!$D$11 + UVG_Input_Data!$D$14 + UVG_Input_Data!$D$15) * UVG_Input_Data!AV27 + UVG_Calculations!AV31)/UVG_Output!$C$10</f>
        <v>#DIV/0!</v>
      </c>
      <c r="AW17" s="102" t="e">
        <f>((UVG_Input_Data!$D$11 + UVG_Input_Data!$D$14 + UVG_Input_Data!$D$15) * UVG_Input_Data!AW27 + UVG_Calculations!AW31)/UVG_Output!$C$10</f>
        <v>#DIV/0!</v>
      </c>
      <c r="AX17" s="102" t="e">
        <f>((UVG_Input_Data!$D$11 + UVG_Input_Data!$D$14 + UVG_Input_Data!$D$15) * UVG_Input_Data!AX27 + UVG_Calculations!AX31)/UVG_Output!$C$10</f>
        <v>#DIV/0!</v>
      </c>
      <c r="AY17" s="102" t="e">
        <f>((UVG_Input_Data!$D$11 + UVG_Input_Data!$D$14 + UVG_Input_Data!$D$15) * UVG_Input_Data!AY27 + UVG_Calculations!AY31)/UVG_Output!$C$10</f>
        <v>#DIV/0!</v>
      </c>
      <c r="AZ17" s="102" t="e">
        <f>((UVG_Input_Data!$D$11 + UVG_Input_Data!$D$14 + UVG_Input_Data!$D$15) * UVG_Input_Data!AZ27 + UVG_Calculations!AZ31)/UVG_Output!$C$10</f>
        <v>#DIV/0!</v>
      </c>
    </row>
    <row r="18" spans="1:52">
      <c r="A18" s="13" t="s">
        <v>19</v>
      </c>
      <c r="B18" s="13" t="s">
        <v>20</v>
      </c>
      <c r="C18" s="102" t="e">
        <f ca="1">(UVG_Calculations!C24 + UVG_Calculations!C28 + UVG_Calculations!C30 + UVG_Calculations!C38 + UVG_Calculations!C39) /UVG_Output!$C$11</f>
        <v>#DIV/0!</v>
      </c>
      <c r="D18" s="102" t="e">
        <f ca="1">(UVG_Calculations!D24 + UVG_Calculations!D28 + UVG_Calculations!D30 + UVG_Calculations!D38 + UVG_Calculations!D39) /UVG_Output!$C$11</f>
        <v>#DIV/0!</v>
      </c>
      <c r="E18" s="102" t="e">
        <f ca="1">(UVG_Calculations!E24 + UVG_Calculations!E28 + UVG_Calculations!E30 + UVG_Calculations!E38 + UVG_Calculations!E39) /UVG_Output!$C$11</f>
        <v>#DIV/0!</v>
      </c>
      <c r="F18" s="102" t="e">
        <f ca="1">(UVG_Calculations!F24 + UVG_Calculations!F28 + UVG_Calculations!F30 + UVG_Calculations!F38 + UVG_Calculations!F39) /UVG_Output!$C$11</f>
        <v>#DIV/0!</v>
      </c>
      <c r="G18" s="102" t="e">
        <f ca="1">(UVG_Calculations!G24 + UVG_Calculations!G28 + UVG_Calculations!G30 + UVG_Calculations!G38 + UVG_Calculations!G39) /UVG_Output!$C$11</f>
        <v>#DIV/0!</v>
      </c>
      <c r="H18" s="102" t="e">
        <f ca="1">(UVG_Calculations!H24 + UVG_Calculations!H28 + UVG_Calculations!H30 + UVG_Calculations!H39) /UVG_Output!$C$11</f>
        <v>#DIV/0!</v>
      </c>
      <c r="I18" s="102" t="e">
        <f ca="1">(UVG_Calculations!I24 + UVG_Calculations!I28 + UVG_Calculations!I30 + UVG_Calculations!I39) /UVG_Output!$C$11</f>
        <v>#DIV/0!</v>
      </c>
      <c r="J18" s="102" t="e">
        <f ca="1">(UVG_Calculations!J24 + UVG_Calculations!J28 + UVG_Calculations!J30 + UVG_Calculations!J39) /UVG_Output!$C$11</f>
        <v>#DIV/0!</v>
      </c>
      <c r="K18" s="102" t="e">
        <f ca="1">(UVG_Calculations!K24 + UVG_Calculations!K28 + UVG_Calculations!K30 + UVG_Calculations!K39) /UVG_Output!$C$11</f>
        <v>#DIV/0!</v>
      </c>
      <c r="L18" s="102" t="e">
        <f ca="1">(UVG_Calculations!L24 + UVG_Calculations!L28 + UVG_Calculations!L30 + UVG_Calculations!L39) /UVG_Output!$C$11</f>
        <v>#DIV/0!</v>
      </c>
      <c r="M18" s="102" t="e">
        <f ca="1">(UVG_Calculations!M24 + UVG_Calculations!M28 + UVG_Calculations!M30 + UVG_Calculations!M39) /UVG_Output!$C$11</f>
        <v>#DIV/0!</v>
      </c>
      <c r="N18" s="102" t="e">
        <f ca="1">(UVG_Calculations!N24 + UVG_Calculations!N28 + UVG_Calculations!N30 + UVG_Calculations!N39) /UVG_Output!$C$11</f>
        <v>#DIV/0!</v>
      </c>
      <c r="O18" s="102" t="e">
        <f ca="1">(UVG_Calculations!O24 + UVG_Calculations!O28 + UVG_Calculations!O30 + UVG_Calculations!O39) /UVG_Output!$C$11</f>
        <v>#DIV/0!</v>
      </c>
      <c r="P18" s="102" t="e">
        <f ca="1">(UVG_Calculations!P24 + UVG_Calculations!P28 + UVG_Calculations!P30 + UVG_Calculations!P39) /UVG_Output!$C$11</f>
        <v>#DIV/0!</v>
      </c>
      <c r="Q18" s="102" t="e">
        <f ca="1">(UVG_Calculations!Q24 + UVG_Calculations!Q28 + UVG_Calculations!Q30 + UVG_Calculations!Q39) /UVG_Output!$C$11</f>
        <v>#DIV/0!</v>
      </c>
      <c r="R18" s="102" t="e">
        <f ca="1">(UVG_Calculations!R24 + UVG_Calculations!R28 + UVG_Calculations!R30 + UVG_Calculations!R39) /UVG_Output!$C$11</f>
        <v>#DIV/0!</v>
      </c>
      <c r="S18" s="102" t="e">
        <f ca="1">(UVG_Calculations!S24 + UVG_Calculations!S28 + UVG_Calculations!S30 + UVG_Calculations!S39) /UVG_Output!$C$11</f>
        <v>#DIV/0!</v>
      </c>
      <c r="T18" s="102" t="e">
        <f ca="1">(UVG_Calculations!T24 + UVG_Calculations!T28 + UVG_Calculations!T30 + UVG_Calculations!T39) /UVG_Output!$C$11</f>
        <v>#DIV/0!</v>
      </c>
      <c r="U18" s="102" t="e">
        <f ca="1">(UVG_Calculations!U24 + UVG_Calculations!U28 + UVG_Calculations!U30 + UVG_Calculations!U39) /UVG_Output!$C$11</f>
        <v>#DIV/0!</v>
      </c>
      <c r="V18" s="102" t="e">
        <f ca="1">(UVG_Calculations!V24 + UVG_Calculations!V28 + UVG_Calculations!V30 + UVG_Calculations!V39) /UVG_Output!$C$11</f>
        <v>#DIV/0!</v>
      </c>
      <c r="W18" s="102" t="e">
        <f ca="1">(UVG_Calculations!W24 + UVG_Calculations!W28 + UVG_Calculations!W30 + UVG_Calculations!W39) /UVG_Output!$C$11</f>
        <v>#DIV/0!</v>
      </c>
      <c r="X18" s="102" t="e">
        <f ca="1">(UVG_Calculations!X24 + UVG_Calculations!X28 + UVG_Calculations!X30 + UVG_Calculations!X39) /UVG_Output!$C$11</f>
        <v>#DIV/0!</v>
      </c>
      <c r="Y18" s="102" t="e">
        <f ca="1">(UVG_Calculations!Y24 + UVG_Calculations!Y28 + UVG_Calculations!Y30 + UVG_Calculations!Y39) /UVG_Output!$C$11</f>
        <v>#DIV/0!</v>
      </c>
      <c r="Z18" s="102" t="e">
        <f ca="1">(UVG_Calculations!Z24 + UVG_Calculations!Z28 + UVG_Calculations!Z30 + UVG_Calculations!Z39) /UVG_Output!$C$11</f>
        <v>#DIV/0!</v>
      </c>
      <c r="AA18" s="102" t="e">
        <f ca="1">(UVG_Calculations!AA24 + UVG_Calculations!AA28 + UVG_Calculations!AA30 + UVG_Calculations!AA39) /UVG_Output!$C$11</f>
        <v>#DIV/0!</v>
      </c>
      <c r="AB18" s="102" t="e">
        <f ca="1">(UVG_Calculations!AB24 + UVG_Calculations!AB28 + UVG_Calculations!AB30 + UVG_Calculations!AB39) /UVG_Output!$C$11</f>
        <v>#DIV/0!</v>
      </c>
      <c r="AC18" s="102" t="e">
        <f ca="1">(UVG_Calculations!AC24 + UVG_Calculations!AC28 + UVG_Calculations!AC30 + UVG_Calculations!AC39) /UVG_Output!$C$11</f>
        <v>#DIV/0!</v>
      </c>
      <c r="AD18" s="102" t="e">
        <f ca="1">(UVG_Calculations!AD24 + UVG_Calculations!AD28 + UVG_Calculations!AD30 + UVG_Calculations!AD39) /UVG_Output!$C$11</f>
        <v>#DIV/0!</v>
      </c>
      <c r="AE18" s="102" t="e">
        <f ca="1">(UVG_Calculations!AE24 + UVG_Calculations!AE28 + UVG_Calculations!AE30 + UVG_Calculations!AE39) /UVG_Output!$C$11</f>
        <v>#DIV/0!</v>
      </c>
      <c r="AF18" s="102" t="e">
        <f ca="1">(UVG_Calculations!AF24 + UVG_Calculations!AF28 + UVG_Calculations!AF30 + UVG_Calculations!AF39) /UVG_Output!$C$11</f>
        <v>#DIV/0!</v>
      </c>
      <c r="AG18" s="102" t="e">
        <f ca="1">(UVG_Calculations!AG24 + UVG_Calculations!AG28 + UVG_Calculations!AG30 + UVG_Calculations!AG39) /UVG_Output!$C$11</f>
        <v>#DIV/0!</v>
      </c>
      <c r="AH18" s="102" t="e">
        <f ca="1">(UVG_Calculations!AH24 + UVG_Calculations!AH28 + UVG_Calculations!AH30 + UVG_Calculations!AH39) /UVG_Output!$C$11</f>
        <v>#DIV/0!</v>
      </c>
      <c r="AI18" s="102" t="e">
        <f ca="1">(UVG_Calculations!AI24 + UVG_Calculations!AI28 + UVG_Calculations!AI30 + UVG_Calculations!AI39) /UVG_Output!$C$11</f>
        <v>#DIV/0!</v>
      </c>
      <c r="AJ18" s="102" t="e">
        <f ca="1">(UVG_Calculations!AJ24 + UVG_Calculations!AJ28 + UVG_Calculations!AJ30 + UVG_Calculations!AJ39) /UVG_Output!$C$11</f>
        <v>#DIV/0!</v>
      </c>
      <c r="AK18" s="102" t="e">
        <f ca="1">(UVG_Calculations!AK24 + UVG_Calculations!AK28 + UVG_Calculations!AK30 + UVG_Calculations!AK39) /UVG_Output!$C$11</f>
        <v>#DIV/0!</v>
      </c>
      <c r="AL18" s="102" t="e">
        <f ca="1">(UVG_Calculations!AL24 + UVG_Calculations!AL28 + UVG_Calculations!AL30 + UVG_Calculations!AL39) /UVG_Output!$C$11</f>
        <v>#DIV/0!</v>
      </c>
      <c r="AM18" s="102" t="e">
        <f ca="1">(UVG_Calculations!AM24 + UVG_Calculations!AM28 + UVG_Calculations!AM30 + UVG_Calculations!AM39) /UVG_Output!$C$11</f>
        <v>#DIV/0!</v>
      </c>
      <c r="AN18" s="102" t="e">
        <f ca="1">(UVG_Calculations!AN24 + UVG_Calculations!AN28 + UVG_Calculations!AN30 + UVG_Calculations!AN39) /UVG_Output!$C$11</f>
        <v>#DIV/0!</v>
      </c>
      <c r="AO18" s="102" t="e">
        <f ca="1">(UVG_Calculations!AO24 + UVG_Calculations!AO28 + UVG_Calculations!AO30 + UVG_Calculations!AO39) /UVG_Output!$C$11</f>
        <v>#DIV/0!</v>
      </c>
      <c r="AP18" s="102" t="e">
        <f ca="1">(UVG_Calculations!AP24 + UVG_Calculations!AP28 + UVG_Calculations!AP30 + UVG_Calculations!AP39) /UVG_Output!$C$11</f>
        <v>#DIV/0!</v>
      </c>
      <c r="AQ18" s="102" t="e">
        <f ca="1">(UVG_Calculations!AQ24 + UVG_Calculations!AQ28 + UVG_Calculations!AQ30 + UVG_Calculations!AQ39) /UVG_Output!$C$11</f>
        <v>#DIV/0!</v>
      </c>
      <c r="AR18" s="102" t="e">
        <f ca="1">(UVG_Calculations!AR24 + UVG_Calculations!AR28 + UVG_Calculations!AR30 + UVG_Calculations!AR39) /UVG_Output!$C$11</f>
        <v>#DIV/0!</v>
      </c>
      <c r="AS18" s="102" t="e">
        <f ca="1">(UVG_Calculations!AS24 + UVG_Calculations!AS28 + UVG_Calculations!AS30 + UVG_Calculations!AS39) /UVG_Output!$C$11</f>
        <v>#DIV/0!</v>
      </c>
      <c r="AT18" s="102" t="e">
        <f ca="1">(UVG_Calculations!AT24 + UVG_Calculations!AT28 + UVG_Calculations!AT30 + UVG_Calculations!AT39) /UVG_Output!$C$11</f>
        <v>#DIV/0!</v>
      </c>
      <c r="AU18" s="102" t="e">
        <f ca="1">(UVG_Calculations!AU24 + UVG_Calculations!AU28 + UVG_Calculations!AU30 + UVG_Calculations!AU39) /UVG_Output!$C$11</f>
        <v>#DIV/0!</v>
      </c>
      <c r="AV18" s="102" t="e">
        <f ca="1">(UVG_Calculations!AV24 + UVG_Calculations!AV28 + UVG_Calculations!AV30 + UVG_Calculations!AV39) /UVG_Output!$C$11</f>
        <v>#DIV/0!</v>
      </c>
      <c r="AW18" s="102" t="e">
        <f ca="1">(UVG_Calculations!AW24 + UVG_Calculations!AW28 + UVG_Calculations!AW30 + UVG_Calculations!AW39) /UVG_Output!$C$11</f>
        <v>#DIV/0!</v>
      </c>
      <c r="AX18" s="102" t="e">
        <f ca="1">(UVG_Calculations!AX24 + UVG_Calculations!AX28 + UVG_Calculations!AX30 + UVG_Calculations!AX39) /UVG_Output!$C$11</f>
        <v>#DIV/0!</v>
      </c>
      <c r="AY18" s="102" t="e">
        <f ca="1">(UVG_Calculations!AY24 + UVG_Calculations!AY28 + UVG_Calculations!AY30 + UVG_Calculations!AY39) /UVG_Output!$C$11</f>
        <v>#DIV/0!</v>
      </c>
      <c r="AZ18" s="102" t="e">
        <f ca="1">(UVG_Calculations!AZ24 + UVG_Calculations!AZ28 + UVG_Calculations!AZ30 + UVG_Calculations!AZ39) /UVG_Output!$C$11</f>
        <v>#DIV/0!</v>
      </c>
    </row>
    <row r="19" spans="1:52">
      <c r="A19" s="212"/>
      <c r="B19" s="212"/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</row>
    <row r="20" spans="1:52">
      <c r="A20" s="212"/>
      <c r="B20" s="212"/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</row>
    <row r="21" spans="1:52" ht="25.5" customHeight="1">
      <c r="B21" s="225" t="s">
        <v>540</v>
      </c>
      <c r="C21" s="226"/>
    </row>
    <row r="22" spans="1:52" ht="25.5" customHeight="1">
      <c r="B22" s="158" t="s">
        <v>23</v>
      </c>
      <c r="C22" s="198">
        <f ca="1">UVG_Calculations!AZ40</f>
        <v>0</v>
      </c>
    </row>
    <row r="23" spans="1:52">
      <c r="B23" s="213"/>
      <c r="C23" s="213"/>
    </row>
    <row r="24" spans="1:52">
      <c r="C24" s="99"/>
      <c r="D24" s="99"/>
      <c r="E24" s="100"/>
      <c r="F24" s="15"/>
    </row>
    <row r="25" spans="1:52" ht="25.5" customHeight="1">
      <c r="B25" s="225" t="s">
        <v>581</v>
      </c>
      <c r="C25" s="227"/>
      <c r="D25" s="227"/>
      <c r="E25" s="227"/>
    </row>
    <row r="26" spans="1:52">
      <c r="C26" s="8">
        <v>0</v>
      </c>
      <c r="D26" s="8">
        <v>1</v>
      </c>
      <c r="E26" s="8">
        <v>2</v>
      </c>
      <c r="F26" s="8">
        <v>3</v>
      </c>
      <c r="G26" s="8">
        <v>4</v>
      </c>
      <c r="H26" s="8">
        <v>5</v>
      </c>
      <c r="I26" s="8">
        <v>6</v>
      </c>
      <c r="J26" s="8">
        <v>7</v>
      </c>
      <c r="K26" s="8">
        <v>8</v>
      </c>
      <c r="L26" s="8">
        <v>9</v>
      </c>
      <c r="M26" s="8">
        <v>10</v>
      </c>
      <c r="N26" s="8">
        <v>11</v>
      </c>
      <c r="O26" s="8">
        <v>12</v>
      </c>
      <c r="P26" s="8">
        <v>13</v>
      </c>
      <c r="Q26" s="8">
        <v>14</v>
      </c>
      <c r="R26" s="8">
        <v>15</v>
      </c>
      <c r="S26" s="8">
        <v>16</v>
      </c>
      <c r="T26" s="8">
        <v>17</v>
      </c>
      <c r="U26" s="8">
        <v>18</v>
      </c>
      <c r="V26" s="8">
        <v>19</v>
      </c>
      <c r="W26" s="8">
        <v>20</v>
      </c>
      <c r="X26" s="8">
        <v>21</v>
      </c>
      <c r="Y26" s="8">
        <v>22</v>
      </c>
      <c r="Z26" s="8">
        <v>23</v>
      </c>
      <c r="AA26" s="8">
        <v>24</v>
      </c>
      <c r="AB26" s="8">
        <v>25</v>
      </c>
      <c r="AC26" s="8">
        <v>26</v>
      </c>
      <c r="AD26" s="8">
        <v>27</v>
      </c>
      <c r="AE26" s="8">
        <v>28</v>
      </c>
      <c r="AF26" s="8">
        <v>29</v>
      </c>
      <c r="AG26" s="8">
        <v>30</v>
      </c>
      <c r="AH26" s="8">
        <v>31</v>
      </c>
      <c r="AI26" s="8">
        <v>32</v>
      </c>
      <c r="AJ26" s="8">
        <v>33</v>
      </c>
      <c r="AK26" s="8">
        <v>34</v>
      </c>
      <c r="AL26" s="8">
        <v>35</v>
      </c>
      <c r="AM26" s="8">
        <v>36</v>
      </c>
      <c r="AN26" s="8">
        <v>37</v>
      </c>
      <c r="AO26" s="8">
        <v>38</v>
      </c>
      <c r="AP26" s="8">
        <v>39</v>
      </c>
      <c r="AQ26" s="8">
        <v>40</v>
      </c>
      <c r="AR26" s="8">
        <v>41</v>
      </c>
      <c r="AS26" s="8">
        <v>42</v>
      </c>
      <c r="AT26" s="8">
        <v>43</v>
      </c>
      <c r="AU26" s="8">
        <v>44</v>
      </c>
      <c r="AV26" s="8">
        <v>45</v>
      </c>
      <c r="AW26" s="8">
        <v>46</v>
      </c>
      <c r="AX26" s="8">
        <v>47</v>
      </c>
      <c r="AY26" s="8">
        <v>48</v>
      </c>
      <c r="AZ26" s="8">
        <v>49</v>
      </c>
    </row>
    <row r="27" spans="1:52">
      <c r="B27" s="13" t="str">
        <f>UVG_Calculations!B39</f>
        <v>Ausgleichszahlungen</v>
      </c>
      <c r="C27" s="198">
        <f ca="1">UVG_Calculations!C39</f>
        <v>0</v>
      </c>
      <c r="D27" s="198">
        <f ca="1">UVG_Calculations!D39</f>
        <v>0</v>
      </c>
      <c r="E27" s="198">
        <f ca="1">UVG_Calculations!E39</f>
        <v>0</v>
      </c>
      <c r="F27" s="198">
        <f ca="1">UVG_Calculations!F39</f>
        <v>0</v>
      </c>
      <c r="G27" s="198">
        <f ca="1">UVG_Calculations!G39</f>
        <v>0</v>
      </c>
      <c r="H27" s="198">
        <f ca="1">UVG_Calculations!H39</f>
        <v>0</v>
      </c>
      <c r="I27" s="198">
        <f ca="1">UVG_Calculations!I39</f>
        <v>0</v>
      </c>
      <c r="J27" s="198">
        <f ca="1">UVG_Calculations!J39</f>
        <v>0</v>
      </c>
      <c r="K27" s="198">
        <f ca="1">UVG_Calculations!K39</f>
        <v>0</v>
      </c>
      <c r="L27" s="198">
        <f ca="1">UVG_Calculations!L39</f>
        <v>0</v>
      </c>
      <c r="M27" s="198">
        <f ca="1">UVG_Calculations!M39</f>
        <v>0</v>
      </c>
      <c r="N27" s="198">
        <f ca="1">UVG_Calculations!N39</f>
        <v>0</v>
      </c>
      <c r="O27" s="198">
        <f ca="1">UVG_Calculations!O39</f>
        <v>0</v>
      </c>
      <c r="P27" s="198">
        <f ca="1">UVG_Calculations!P39</f>
        <v>0</v>
      </c>
      <c r="Q27" s="198">
        <f ca="1">UVG_Calculations!Q39</f>
        <v>0</v>
      </c>
      <c r="R27" s="198">
        <f ca="1">UVG_Calculations!R39</f>
        <v>0</v>
      </c>
      <c r="S27" s="198">
        <f ca="1">UVG_Calculations!S39</f>
        <v>0</v>
      </c>
      <c r="T27" s="198">
        <f ca="1">UVG_Calculations!T39</f>
        <v>0</v>
      </c>
      <c r="U27" s="198">
        <f ca="1">UVG_Calculations!U39</f>
        <v>0</v>
      </c>
      <c r="V27" s="198">
        <f ca="1">UVG_Calculations!V39</f>
        <v>0</v>
      </c>
      <c r="W27" s="198">
        <f ca="1">UVG_Calculations!W39</f>
        <v>0</v>
      </c>
      <c r="X27" s="198">
        <f ca="1">UVG_Calculations!X39</f>
        <v>0</v>
      </c>
      <c r="Y27" s="198">
        <f ca="1">UVG_Calculations!Y39</f>
        <v>0</v>
      </c>
      <c r="Z27" s="198">
        <f ca="1">UVG_Calculations!Z39</f>
        <v>0</v>
      </c>
      <c r="AA27" s="198">
        <f ca="1">UVG_Calculations!AA39</f>
        <v>0</v>
      </c>
      <c r="AB27" s="198">
        <f ca="1">UVG_Calculations!AB39</f>
        <v>0</v>
      </c>
      <c r="AC27" s="198">
        <f ca="1">UVG_Calculations!AC39</f>
        <v>0</v>
      </c>
      <c r="AD27" s="198">
        <f ca="1">UVG_Calculations!AD39</f>
        <v>0</v>
      </c>
      <c r="AE27" s="198">
        <f ca="1">UVG_Calculations!AE39</f>
        <v>0</v>
      </c>
      <c r="AF27" s="198">
        <f ca="1">UVG_Calculations!AF39</f>
        <v>0</v>
      </c>
      <c r="AG27" s="198">
        <f ca="1">UVG_Calculations!AG39</f>
        <v>0</v>
      </c>
      <c r="AH27" s="198">
        <f ca="1">UVG_Calculations!AH39</f>
        <v>0</v>
      </c>
      <c r="AI27" s="198">
        <f ca="1">UVG_Calculations!AI39</f>
        <v>0</v>
      </c>
      <c r="AJ27" s="198">
        <f ca="1">UVG_Calculations!AJ39</f>
        <v>0</v>
      </c>
      <c r="AK27" s="198">
        <f ca="1">UVG_Calculations!AK39</f>
        <v>0</v>
      </c>
      <c r="AL27" s="198">
        <f ca="1">UVG_Calculations!AL39</f>
        <v>0</v>
      </c>
      <c r="AM27" s="198">
        <f ca="1">UVG_Calculations!AM39</f>
        <v>0</v>
      </c>
      <c r="AN27" s="198">
        <f ca="1">UVG_Calculations!AN39</f>
        <v>0</v>
      </c>
      <c r="AO27" s="198">
        <f ca="1">UVG_Calculations!AO39</f>
        <v>0</v>
      </c>
      <c r="AP27" s="198">
        <f ca="1">UVG_Calculations!AP39</f>
        <v>0</v>
      </c>
      <c r="AQ27" s="198">
        <f ca="1">UVG_Calculations!AQ39</f>
        <v>0</v>
      </c>
      <c r="AR27" s="198">
        <f ca="1">UVG_Calculations!AR39</f>
        <v>0</v>
      </c>
      <c r="AS27" s="198">
        <f ca="1">UVG_Calculations!AS39</f>
        <v>0</v>
      </c>
      <c r="AT27" s="198">
        <f ca="1">UVG_Calculations!AT39</f>
        <v>0</v>
      </c>
      <c r="AU27" s="198">
        <f ca="1">UVG_Calculations!AU39</f>
        <v>0</v>
      </c>
      <c r="AV27" s="198">
        <f ca="1">UVG_Calculations!AV39</f>
        <v>0</v>
      </c>
      <c r="AW27" s="198">
        <f ca="1">UVG_Calculations!AW39</f>
        <v>0</v>
      </c>
      <c r="AX27" s="198">
        <f ca="1">UVG_Calculations!AX39</f>
        <v>0</v>
      </c>
      <c r="AY27" s="198">
        <f ca="1">UVG_Calculations!AY39</f>
        <v>0</v>
      </c>
      <c r="AZ27" s="198">
        <f ca="1">UVG_Calculations!AZ39</f>
        <v>0</v>
      </c>
    </row>
    <row r="28" spans="1:52">
      <c r="C28" s="99"/>
      <c r="D28" s="99"/>
      <c r="E28" s="100"/>
      <c r="F28" s="15"/>
    </row>
    <row r="29" spans="1:52" ht="15">
      <c r="B29" s="4" t="s">
        <v>585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1" spans="1:52" ht="25.5">
      <c r="B31" s="158" t="s">
        <v>24</v>
      </c>
      <c r="C31" s="199">
        <f ca="1">UVG_Calculations!C18</f>
        <v>0</v>
      </c>
    </row>
    <row r="33" spans="2:14" ht="15">
      <c r="B33" s="4" t="s">
        <v>580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5" spans="2:14">
      <c r="B35" s="162" t="s">
        <v>25</v>
      </c>
      <c r="C35" s="8"/>
    </row>
    <row r="36" spans="2:14" ht="35.25" customHeight="1">
      <c r="B36" s="163" t="s">
        <v>26</v>
      </c>
    </row>
  </sheetData>
  <mergeCells count="6">
    <mergeCell ref="B21:C21"/>
    <mergeCell ref="B25:E25"/>
    <mergeCell ref="B6:D6"/>
    <mergeCell ref="C7:D7"/>
    <mergeCell ref="B15:B16"/>
    <mergeCell ref="B14:E14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D3D41-D92D-4B00-BFD5-0AED9C4A06D5}">
  <sheetPr codeName="Sheet4">
    <tabColor theme="1" tint="4.9989318521683403E-2"/>
  </sheetPr>
  <dimension ref="A2:K115"/>
  <sheetViews>
    <sheetView showGridLines="0" zoomScaleNormal="100" workbookViewId="0">
      <selection activeCell="B123" sqref="B123"/>
    </sheetView>
  </sheetViews>
  <sheetFormatPr defaultColWidth="8.7109375" defaultRowHeight="12.75"/>
  <cols>
    <col min="1" max="1" width="5.5703125" style="126" customWidth="1"/>
    <col min="2" max="2" width="33.5703125" style="126" customWidth="1"/>
    <col min="3" max="3" width="21" style="126" customWidth="1"/>
    <col min="4" max="4" width="53.28515625" style="126" customWidth="1"/>
    <col min="5" max="5" width="66" style="126" customWidth="1"/>
    <col min="6" max="6" width="53.42578125" style="126" customWidth="1"/>
    <col min="7" max="9" width="41" style="126" customWidth="1"/>
    <col min="10" max="16384" width="8.7109375" style="126"/>
  </cols>
  <sheetData>
    <row r="2" spans="1:10">
      <c r="B2" s="127" t="s">
        <v>193</v>
      </c>
      <c r="C2" s="127" t="s">
        <v>194</v>
      </c>
      <c r="D2" s="128" t="s">
        <v>195</v>
      </c>
      <c r="E2" s="128" t="s">
        <v>196</v>
      </c>
      <c r="F2" s="128" t="s">
        <v>197</v>
      </c>
    </row>
    <row r="3" spans="1:10">
      <c r="A3"/>
      <c r="B3"/>
      <c r="C3"/>
      <c r="D3"/>
      <c r="E3"/>
      <c r="F3"/>
      <c r="G3"/>
      <c r="H3"/>
      <c r="I3"/>
      <c r="J3"/>
    </row>
    <row r="4" spans="1:10" s="145" customFormat="1" ht="38.25">
      <c r="B4" s="147"/>
      <c r="C4" s="148" t="s">
        <v>198</v>
      </c>
      <c r="D4" s="147" t="s">
        <v>199</v>
      </c>
      <c r="E4" s="146" t="s">
        <v>200</v>
      </c>
      <c r="F4" s="149" t="s">
        <v>201</v>
      </c>
    </row>
    <row r="5" spans="1:10">
      <c r="B5" s="126" t="str">
        <f>IF(Language="EN",$F5,IF(Language="DE",$D5,$E5))</f>
        <v>in Mio. CHF</v>
      </c>
      <c r="C5" s="126" t="s">
        <v>202</v>
      </c>
      <c r="D5" s="129" t="s">
        <v>16</v>
      </c>
      <c r="E5" s="129" t="s">
        <v>203</v>
      </c>
      <c r="F5" s="129" t="s">
        <v>204</v>
      </c>
    </row>
    <row r="6" spans="1:10">
      <c r="B6" s="126" t="str">
        <f>IF(Language="EN",$F6,IF(Language="DE",$D6,$E6))</f>
        <v xml:space="preserve"> (in Mio. CHF)</v>
      </c>
      <c r="C6" s="126" t="s">
        <v>205</v>
      </c>
      <c r="D6" s="129" t="s">
        <v>206</v>
      </c>
      <c r="E6" s="129" t="s">
        <v>207</v>
      </c>
      <c r="F6" s="129" t="s">
        <v>208</v>
      </c>
    </row>
    <row r="7" spans="1:10">
      <c r="C7" s="126" t="s">
        <v>209</v>
      </c>
      <c r="D7" s="129" t="s">
        <v>210</v>
      </c>
      <c r="E7" s="129" t="s">
        <v>211</v>
      </c>
      <c r="F7" s="129" t="s">
        <v>212</v>
      </c>
    </row>
    <row r="8" spans="1:10">
      <c r="C8" s="126" t="s">
        <v>213</v>
      </c>
      <c r="D8" s="129" t="s">
        <v>214</v>
      </c>
      <c r="E8" s="129" t="s">
        <v>215</v>
      </c>
      <c r="F8" s="129" t="s">
        <v>216</v>
      </c>
    </row>
    <row r="9" spans="1:10">
      <c r="C9" s="126" t="s">
        <v>217</v>
      </c>
      <c r="D9" s="129" t="s">
        <v>218</v>
      </c>
      <c r="E9" s="129" t="s">
        <v>219</v>
      </c>
      <c r="F9" s="129" t="s">
        <v>220</v>
      </c>
    </row>
    <row r="10" spans="1:10">
      <c r="C10" s="126" t="s">
        <v>221</v>
      </c>
      <c r="D10" s="129" t="s">
        <v>222</v>
      </c>
      <c r="E10" s="129" t="s">
        <v>223</v>
      </c>
      <c r="F10" s="129" t="s">
        <v>224</v>
      </c>
    </row>
    <row r="11" spans="1:10">
      <c r="C11" s="126" t="s">
        <v>225</v>
      </c>
      <c r="D11" s="129" t="s">
        <v>226</v>
      </c>
      <c r="E11" s="129" t="s">
        <v>227</v>
      </c>
      <c r="F11" s="129" t="s">
        <v>228</v>
      </c>
    </row>
    <row r="12" spans="1:10">
      <c r="C12" s="126" t="s">
        <v>229</v>
      </c>
      <c r="D12" s="129" t="s">
        <v>230</v>
      </c>
      <c r="E12" s="129" t="s">
        <v>231</v>
      </c>
      <c r="F12" s="129" t="s">
        <v>232</v>
      </c>
    </row>
    <row r="13" spans="1:10">
      <c r="C13" s="126" t="s">
        <v>233</v>
      </c>
      <c r="D13" s="129" t="s">
        <v>234</v>
      </c>
      <c r="E13" s="129" t="s">
        <v>235</v>
      </c>
      <c r="F13" s="129" t="s">
        <v>193</v>
      </c>
    </row>
    <row r="14" spans="1:10">
      <c r="C14" s="126" t="s">
        <v>236</v>
      </c>
      <c r="D14" s="129" t="s">
        <v>237</v>
      </c>
      <c r="E14" s="129" t="s">
        <v>238</v>
      </c>
      <c r="F14" s="129" t="s">
        <v>239</v>
      </c>
    </row>
    <row r="15" spans="1:10" ht="38.25">
      <c r="C15" s="126" t="s">
        <v>240</v>
      </c>
      <c r="D15" s="130" t="s">
        <v>241</v>
      </c>
      <c r="E15" s="130" t="s">
        <v>242</v>
      </c>
      <c r="F15" s="130" t="s">
        <v>243</v>
      </c>
    </row>
    <row r="16" spans="1:10" ht="25.5">
      <c r="C16" s="126" t="s">
        <v>244</v>
      </c>
      <c r="D16" s="130" t="s">
        <v>245</v>
      </c>
      <c r="E16" s="130" t="s">
        <v>246</v>
      </c>
      <c r="F16" s="130" t="s">
        <v>247</v>
      </c>
    </row>
    <row r="17" spans="1:11" ht="25.5">
      <c r="C17" s="126" t="s">
        <v>248</v>
      </c>
      <c r="D17" s="130" t="s">
        <v>249</v>
      </c>
      <c r="E17" s="130" t="s">
        <v>250</v>
      </c>
      <c r="F17" s="130" t="s">
        <v>251</v>
      </c>
    </row>
    <row r="18" spans="1:11" ht="25.5">
      <c r="C18" s="126" t="s">
        <v>252</v>
      </c>
      <c r="D18" s="130" t="s">
        <v>537</v>
      </c>
      <c r="E18" s="161" t="s">
        <v>253</v>
      </c>
      <c r="F18" s="161" t="s">
        <v>254</v>
      </c>
    </row>
    <row r="19" spans="1:11" ht="25.5">
      <c r="C19" s="126" t="s">
        <v>255</v>
      </c>
      <c r="D19" s="130" t="s">
        <v>256</v>
      </c>
      <c r="E19" s="130" t="s">
        <v>257</v>
      </c>
      <c r="F19" s="130" t="s">
        <v>258</v>
      </c>
    </row>
    <row r="20" spans="1:11">
      <c r="D20" s="129"/>
      <c r="E20" s="129"/>
      <c r="F20" s="129"/>
    </row>
    <row r="21" spans="1:11">
      <c r="B21" s="128"/>
      <c r="C21" s="128" t="s">
        <v>259</v>
      </c>
      <c r="D21" s="128" t="s">
        <v>260</v>
      </c>
      <c r="E21" s="128" t="s">
        <v>261</v>
      </c>
      <c r="F21" s="128" t="s">
        <v>262</v>
      </c>
    </row>
    <row r="22" spans="1:11" customFormat="1">
      <c r="A22" s="126"/>
      <c r="B22" s="126" t="str">
        <f t="shared" ref="B22:B27" si="0">IF(Language="EN",$F22,IF(Language="DE",$D22,$E22))</f>
        <v>Fälligkeit (in Jahren)</v>
      </c>
      <c r="C22" s="126" t="s">
        <v>263</v>
      </c>
      <c r="D22" s="129" t="s">
        <v>264</v>
      </c>
      <c r="E22" s="129" t="s">
        <v>265</v>
      </c>
      <c r="F22" s="129" t="s">
        <v>266</v>
      </c>
      <c r="G22" s="126"/>
      <c r="H22" s="126"/>
      <c r="I22" s="126"/>
      <c r="J22" s="126"/>
      <c r="K22" s="126"/>
    </row>
    <row r="23" spans="1:11">
      <c r="B23" s="126" t="str">
        <f t="shared" si="0"/>
        <v>nach oben</v>
      </c>
      <c r="C23" s="126" t="s">
        <v>267</v>
      </c>
      <c r="D23" s="131" t="s">
        <v>268</v>
      </c>
      <c r="E23" s="131" t="s">
        <v>269</v>
      </c>
      <c r="F23" s="131" t="s">
        <v>270</v>
      </c>
    </row>
    <row r="24" spans="1:11">
      <c r="B24" s="126" t="str">
        <f t="shared" si="0"/>
        <v>nach unten</v>
      </c>
      <c r="C24" s="126" t="s">
        <v>271</v>
      </c>
      <c r="D24" s="131" t="s">
        <v>272</v>
      </c>
      <c r="E24" s="131" t="s">
        <v>273</v>
      </c>
      <c r="F24" s="131" t="s">
        <v>274</v>
      </c>
    </row>
    <row r="25" spans="1:11">
      <c r="B25" s="126" t="str">
        <f t="shared" si="0"/>
        <v>CHF kurzfristiger Zinssatz</v>
      </c>
      <c r="C25" s="126" t="s">
        <v>275</v>
      </c>
      <c r="D25" s="131" t="s">
        <v>276</v>
      </c>
      <c r="E25" s="160" t="s">
        <v>277</v>
      </c>
      <c r="F25" s="131" t="s">
        <v>278</v>
      </c>
    </row>
    <row r="26" spans="1:11">
      <c r="B26" s="126" t="str">
        <f t="shared" si="0"/>
        <v>CHF mittelfristiger Zinssatz</v>
      </c>
      <c r="C26" s="126" t="s">
        <v>279</v>
      </c>
      <c r="D26" s="131" t="s">
        <v>280</v>
      </c>
      <c r="E26" s="160" t="s">
        <v>281</v>
      </c>
      <c r="F26" s="131" t="s">
        <v>282</v>
      </c>
    </row>
    <row r="27" spans="1:11">
      <c r="B27" s="126" t="str">
        <f t="shared" si="0"/>
        <v>CHF langfristiger Zinssatz</v>
      </c>
      <c r="C27" s="126" t="s">
        <v>283</v>
      </c>
      <c r="D27" s="131" t="s">
        <v>284</v>
      </c>
      <c r="E27" s="160" t="s">
        <v>285</v>
      </c>
      <c r="F27" s="131" t="s">
        <v>286</v>
      </c>
    </row>
    <row r="28" spans="1:11">
      <c r="C28" s="126" t="s">
        <v>287</v>
      </c>
      <c r="D28" s="129" t="str">
        <f>"Risikolose Zinskurve r(t) per 31.12."&amp; current_year-1</f>
        <v>Risikolose Zinskurve r(t) per 31.12.2024</v>
      </c>
      <c r="E28" s="129" t="str">
        <f>"Taux d'interêt sans risque r(t) au 31.12." &amp; current_year-1</f>
        <v>Taux d'interêt sans risque r(t) au 31.12.2024</v>
      </c>
      <c r="F28" s="129" t="str">
        <f>"Risk-free interest rates r(t) as of 31.12." &amp; current_year-1</f>
        <v>Risk-free interest rates r(t) as of 31.12.2024</v>
      </c>
    </row>
    <row r="29" spans="1:11" ht="25.5">
      <c r="C29" s="135" t="s">
        <v>288</v>
      </c>
      <c r="D29" s="130" t="s">
        <v>289</v>
      </c>
      <c r="E29" s="130" t="s">
        <v>290</v>
      </c>
      <c r="F29" s="130" t="s">
        <v>291</v>
      </c>
    </row>
    <row r="30" spans="1:11">
      <c r="C30" s="135" t="s">
        <v>292</v>
      </c>
      <c r="D30" s="130" t="s">
        <v>293</v>
      </c>
      <c r="E30" s="161" t="s">
        <v>294</v>
      </c>
      <c r="F30" s="130" t="s">
        <v>295</v>
      </c>
    </row>
    <row r="31" spans="1:11">
      <c r="C31" s="135" t="s">
        <v>296</v>
      </c>
      <c r="D31" s="130" t="s">
        <v>297</v>
      </c>
      <c r="E31" s="161" t="s">
        <v>298</v>
      </c>
      <c r="F31" s="130" t="s">
        <v>299</v>
      </c>
    </row>
    <row r="32" spans="1:11" ht="25.5">
      <c r="C32" s="135" t="s">
        <v>300</v>
      </c>
      <c r="D32" s="130" t="str">
        <f>"Durchschnitt der 10-jährigen Renditen Bundesobligationen der letzten 10 Jahre per 31.12." &amp; current_year-1</f>
        <v>Durchschnitt der 10-jährigen Renditen Bundesobligationen der letzten 10 Jahre per 31.12.2024</v>
      </c>
      <c r="E32" s="161" t="s">
        <v>301</v>
      </c>
      <c r="F32" s="130" t="str">
        <f>"Average of the Swiss confederation bond yield over the last 10 years as of 31.12."&amp; current_year-1</f>
        <v>Average of the Swiss confederation bond yield over the last 10 years as of 31.12.2024</v>
      </c>
    </row>
    <row r="33" spans="2:6">
      <c r="C33" s="135" t="s">
        <v>302</v>
      </c>
      <c r="D33" s="130" t="s">
        <v>303</v>
      </c>
      <c r="E33" s="161" t="s">
        <v>304</v>
      </c>
      <c r="F33" s="130" t="s">
        <v>305</v>
      </c>
    </row>
    <row r="34" spans="2:6">
      <c r="C34" s="135" t="s">
        <v>306</v>
      </c>
      <c r="D34" s="129" t="str">
        <f>"Verbraucherpreisinflation per 31.12." &amp; current_year-1</f>
        <v>Verbraucherpreisinflation per 31.12.2024</v>
      </c>
      <c r="E34" s="161" t="str">
        <f>"Inflation de l'indice des prix à la consommation au 31.12." &amp; current_year-1</f>
        <v>Inflation de l'indice des prix à la consommation au 31.12.2024</v>
      </c>
      <c r="F34" s="129" t="str">
        <f>"Consumer price inflation as of 31.12."&amp; current_year-1</f>
        <v>Consumer price inflation as of 31.12.2024</v>
      </c>
    </row>
    <row r="35" spans="2:6">
      <c r="C35" s="135" t="s">
        <v>307</v>
      </c>
      <c r="D35" s="129" t="s">
        <v>308</v>
      </c>
      <c r="E35" s="161" t="s">
        <v>309</v>
      </c>
      <c r="F35" s="129" t="s">
        <v>310</v>
      </c>
    </row>
    <row r="36" spans="2:6" ht="25.5">
      <c r="B36" s="135"/>
      <c r="C36" s="135" t="s">
        <v>311</v>
      </c>
      <c r="D36" s="130" t="s">
        <v>312</v>
      </c>
      <c r="E36" s="161" t="s">
        <v>313</v>
      </c>
      <c r="F36" s="130" t="s">
        <v>314</v>
      </c>
    </row>
    <row r="37" spans="2:6">
      <c r="B37" s="135"/>
      <c r="C37" s="135" t="s">
        <v>315</v>
      </c>
      <c r="D37" s="130" t="s">
        <v>316</v>
      </c>
      <c r="E37" s="161" t="s">
        <v>317</v>
      </c>
      <c r="F37" s="130" t="s">
        <v>318</v>
      </c>
    </row>
    <row r="38" spans="2:6">
      <c r="B38" s="135"/>
      <c r="C38" s="135" t="s">
        <v>319</v>
      </c>
      <c r="D38" s="130" t="s">
        <v>320</v>
      </c>
      <c r="E38" s="161" t="s">
        <v>321</v>
      </c>
      <c r="F38" s="164" t="s">
        <v>322</v>
      </c>
    </row>
    <row r="39" spans="2:6" ht="25.5">
      <c r="B39" s="135"/>
      <c r="C39" s="135" t="s">
        <v>323</v>
      </c>
      <c r="D39" s="130" t="str">
        <f>"Prozentsatz für Umlagebeiträge (Prämienzuschlag) am 1.01."&amp; current_year</f>
        <v>Prozentsatz für Umlagebeiträge (Prämienzuschlag) am 1.01.2025</v>
      </c>
      <c r="E39" s="161" t="s">
        <v>324</v>
      </c>
      <c r="F39" s="130" t="str">
        <f>"Premium surcharge as of 1.01."&amp; current_year</f>
        <v>Premium surcharge as of 1.01.2025</v>
      </c>
    </row>
    <row r="40" spans="2:6">
      <c r="C40" s="135" t="s">
        <v>325</v>
      </c>
      <c r="D40" s="131" t="s">
        <v>538</v>
      </c>
      <c r="E40" s="160" t="s">
        <v>326</v>
      </c>
      <c r="F40" s="131" t="s">
        <v>327</v>
      </c>
    </row>
    <row r="41" spans="2:6">
      <c r="C41" s="135" t="s">
        <v>328</v>
      </c>
      <c r="D41" s="131" t="s">
        <v>329</v>
      </c>
      <c r="E41" s="160" t="s">
        <v>330</v>
      </c>
      <c r="F41" s="131" t="s">
        <v>331</v>
      </c>
    </row>
    <row r="42" spans="2:6">
      <c r="C42" s="135" t="s">
        <v>332</v>
      </c>
      <c r="D42" s="131" t="s">
        <v>333</v>
      </c>
      <c r="E42" s="160" t="s">
        <v>334</v>
      </c>
      <c r="F42" s="131" t="s">
        <v>335</v>
      </c>
    </row>
    <row r="43" spans="2:6">
      <c r="C43" s="135" t="s">
        <v>336</v>
      </c>
      <c r="D43" s="131" t="s">
        <v>337</v>
      </c>
      <c r="E43" s="160" t="s">
        <v>338</v>
      </c>
      <c r="F43" s="131" t="s">
        <v>339</v>
      </c>
    </row>
    <row r="44" spans="2:6">
      <c r="C44" s="135" t="s">
        <v>340</v>
      </c>
      <c r="D44" s="131" t="s">
        <v>341</v>
      </c>
      <c r="E44" s="160" t="s">
        <v>342</v>
      </c>
      <c r="F44" s="131" t="s">
        <v>343</v>
      </c>
    </row>
    <row r="45" spans="2:6">
      <c r="C45" s="135" t="s">
        <v>344</v>
      </c>
      <c r="D45" s="131" t="s">
        <v>345</v>
      </c>
      <c r="E45" s="160" t="s">
        <v>346</v>
      </c>
      <c r="F45" s="131" t="s">
        <v>347</v>
      </c>
    </row>
    <row r="46" spans="2:6">
      <c r="C46" s="135" t="s">
        <v>505</v>
      </c>
      <c r="D46" s="131" t="s">
        <v>500</v>
      </c>
      <c r="E46" s="160" t="s">
        <v>507</v>
      </c>
      <c r="F46" s="131" t="s">
        <v>506</v>
      </c>
    </row>
    <row r="48" spans="2:6">
      <c r="B48" s="128"/>
      <c r="C48" s="128" t="s">
        <v>348</v>
      </c>
      <c r="D48" s="128" t="s">
        <v>349</v>
      </c>
      <c r="E48" s="128" t="s">
        <v>350</v>
      </c>
      <c r="F48" s="128" t="s">
        <v>351</v>
      </c>
    </row>
    <row r="49" spans="2:6">
      <c r="B49" s="126" t="str">
        <f>IF(Language="EN",$F49,IF(Language="DE",$D49,$E49))</f>
        <v xml:space="preserve">Neurente im Jahr </v>
      </c>
      <c r="C49" s="144" t="s">
        <v>352</v>
      </c>
      <c r="D49" s="140" t="s">
        <v>353</v>
      </c>
      <c r="E49" s="140" t="s">
        <v>354</v>
      </c>
      <c r="F49" s="140" t="s">
        <v>355</v>
      </c>
    </row>
    <row r="50" spans="2:6" s="136" customFormat="1">
      <c r="C50" s="151" t="s">
        <v>356</v>
      </c>
      <c r="D50" s="140" t="s">
        <v>357</v>
      </c>
      <c r="E50" s="140" t="s">
        <v>358</v>
      </c>
      <c r="F50" s="140" t="s">
        <v>359</v>
      </c>
    </row>
    <row r="51" spans="2:6">
      <c r="B51" s="136"/>
      <c r="C51" s="151" t="s">
        <v>360</v>
      </c>
      <c r="D51" s="140" t="s">
        <v>528</v>
      </c>
      <c r="E51" s="140" t="s">
        <v>361</v>
      </c>
      <c r="F51" s="140" t="s">
        <v>502</v>
      </c>
    </row>
    <row r="52" spans="2:6">
      <c r="B52" s="136"/>
      <c r="C52" s="151" t="s">
        <v>362</v>
      </c>
      <c r="D52" s="140" t="s">
        <v>363</v>
      </c>
      <c r="E52" s="140" t="s">
        <v>364</v>
      </c>
      <c r="F52" s="140" t="s">
        <v>503</v>
      </c>
    </row>
    <row r="53" spans="2:6" s="136" customFormat="1">
      <c r="C53" s="151" t="s">
        <v>365</v>
      </c>
      <c r="D53" s="140" t="s">
        <v>514</v>
      </c>
      <c r="E53" s="140" t="s">
        <v>525</v>
      </c>
      <c r="F53" s="140" t="s">
        <v>522</v>
      </c>
    </row>
    <row r="54" spans="2:6" s="136" customFormat="1">
      <c r="C54" s="151" t="s">
        <v>366</v>
      </c>
      <c r="D54" s="140" t="s">
        <v>515</v>
      </c>
      <c r="E54" s="140" t="s">
        <v>526</v>
      </c>
      <c r="F54" s="140" t="s">
        <v>523</v>
      </c>
    </row>
    <row r="55" spans="2:6" s="142" customFormat="1">
      <c r="B55" s="126"/>
      <c r="C55" s="151" t="s">
        <v>367</v>
      </c>
      <c r="D55" s="143" t="s">
        <v>516</v>
      </c>
      <c r="E55" s="140" t="s">
        <v>527</v>
      </c>
      <c r="F55" s="143" t="s">
        <v>524</v>
      </c>
    </row>
    <row r="56" spans="2:6" s="142" customFormat="1">
      <c r="B56" s="126"/>
      <c r="C56" s="151" t="s">
        <v>368</v>
      </c>
      <c r="D56" s="143" t="s">
        <v>511</v>
      </c>
      <c r="E56" s="204" t="s">
        <v>544</v>
      </c>
      <c r="F56" s="143" t="s">
        <v>512</v>
      </c>
    </row>
    <row r="57" spans="2:6" s="142" customFormat="1">
      <c r="B57" s="126"/>
      <c r="C57" s="151" t="s">
        <v>369</v>
      </c>
      <c r="D57" s="143" t="s">
        <v>370</v>
      </c>
      <c r="E57" s="185" t="s">
        <v>513</v>
      </c>
      <c r="F57" s="143" t="s">
        <v>371</v>
      </c>
    </row>
    <row r="58" spans="2:6" s="142" customFormat="1">
      <c r="B58" s="126"/>
      <c r="C58" s="151" t="s">
        <v>372</v>
      </c>
      <c r="D58" s="143" t="s">
        <v>510</v>
      </c>
      <c r="E58" s="140" t="s">
        <v>508</v>
      </c>
      <c r="F58" s="143" t="s">
        <v>509</v>
      </c>
    </row>
    <row r="59" spans="2:6" s="142" customFormat="1">
      <c r="B59" s="126"/>
      <c r="C59" s="151" t="s">
        <v>373</v>
      </c>
      <c r="D59" s="143" t="s">
        <v>374</v>
      </c>
      <c r="E59" s="140" t="s">
        <v>375</v>
      </c>
      <c r="F59" s="143" t="s">
        <v>376</v>
      </c>
    </row>
    <row r="60" spans="2:6" s="142" customFormat="1" ht="25.5">
      <c r="B60" s="126"/>
      <c r="C60" s="151" t="s">
        <v>377</v>
      </c>
      <c r="D60" s="143" t="str">
        <f>"Inkrementelle Zahlungsmuster für restliche Langfristrückstellungen ab dem Jahr "&amp; current_year &amp;" (in %)"</f>
        <v>Inkrementelle Zahlungsmuster für restliche Langfristrückstellungen ab dem Jahr 2025 (in %)</v>
      </c>
      <c r="E60" s="150" t="str">
        <f>"Cadence de paiements incrémentielle " &amp;current_year&amp;" (en %)"</f>
        <v>Cadence de paiements incrémentielle 2025 (en %)</v>
      </c>
      <c r="F60" s="143" t="str">
        <f>"Incremental payment pattern for remaining long term provisions starting from "&amp; current_year &amp;" (in %)"</f>
        <v>Incremental payment pattern for remaining long term provisions starting from 2025 (in %)</v>
      </c>
    </row>
    <row r="61" spans="2:6" s="142" customFormat="1" ht="25.5">
      <c r="B61" s="126"/>
      <c r="C61" s="151" t="s">
        <v>378</v>
      </c>
      <c r="D61" s="143" t="str">
        <f>"Inkrementelle Zahlungsmuster für künftige Neurenten ab dem Jahr "&amp; current_year &amp;" (in Mio. CHF; jeweils am Ende des Jahres)"</f>
        <v>Inkrementelle Zahlungsmuster für künftige Neurenten ab dem Jahr 2025 (in Mio. CHF; jeweils am Ende des Jahres)</v>
      </c>
      <c r="E61" s="140" t="str">
        <f>"Cash flows " &amp;current_year&amp;_million1</f>
        <v>Cash flows 2025 (in Mio. CHF)</v>
      </c>
      <c r="F61" s="143" t="str">
        <f>"Cash flows for future annuities starting from year "&amp; current_year &amp;" (in mio. CHF; at the end of each year)"</f>
        <v>Cash flows for future annuities starting from year 2025 (in mio. CHF; at the end of each year)</v>
      </c>
    </row>
    <row r="62" spans="2:6">
      <c r="C62" s="151" t="s">
        <v>379</v>
      </c>
      <c r="D62" s="143" t="s">
        <v>380</v>
      </c>
      <c r="E62" s="140" t="s">
        <v>381</v>
      </c>
      <c r="F62" s="143" t="s">
        <v>381</v>
      </c>
    </row>
    <row r="63" spans="2:6" s="142" customFormat="1">
      <c r="B63" s="126"/>
      <c r="C63" s="151" t="s">
        <v>382</v>
      </c>
      <c r="D63" s="142" t="str">
        <f>"Barwerte am 1.01."&amp;current_year &amp;_million1</f>
        <v>Barwerte am 1.01.2025 (in Mio. CHF)</v>
      </c>
      <c r="E63" s="139" t="str">
        <f>"Valeur actualisée au 1.01."&amp;current_year&amp;_million1</f>
        <v>Valeur actualisée au 1.01.2025 (in Mio. CHF)</v>
      </c>
      <c r="F63" s="142" t="str">
        <f>"Present values at 1.01."&amp;current_year&amp;_million1</f>
        <v>Present values at 1.01.2025 (in Mio. CHF)</v>
      </c>
    </row>
    <row r="64" spans="2:6" s="142" customFormat="1" ht="25.5">
      <c r="B64" s="126"/>
      <c r="C64" s="151" t="s">
        <v>383</v>
      </c>
      <c r="D64" s="143" t="str">
        <f>"Inkrementelle Zahlungsmuster für Leistungen am 1.01."&amp;current_year &amp;" (in %)"</f>
        <v>Inkrementelle Zahlungsmuster für Leistungen am 1.01.2025 (in %)</v>
      </c>
      <c r="E64" s="140" t="str">
        <f>"Cadence de paiements incrémentielle au 1.01."&amp;current_year &amp;" (en %)"</f>
        <v>Cadence de paiements incrémentielle au 1.01.2025 (en %)</v>
      </c>
      <c r="F64" s="143" t="str">
        <f>"Incremental payment pattern for provisions on 1.01."&amp;current_year &amp;" (in %)"</f>
        <v>Incremental payment pattern for provisions on 1.01.2025 (in %)</v>
      </c>
    </row>
    <row r="65" spans="2:6">
      <c r="C65" s="151" t="s">
        <v>384</v>
      </c>
      <c r="D65" s="142" t="str">
        <f>"Umlagebeitrag im Jahr "&amp;current_year &amp;_million1</f>
        <v>Umlagebeitrag im Jahr 2025 (in Mio. CHF)</v>
      </c>
      <c r="E65" s="139" t="str">
        <f>"Contributions de répartition pour "&amp;current_year &amp;_million1</f>
        <v>Contributions de répartition pour 2025 (in Mio. CHF)</v>
      </c>
      <c r="F65" s="142" t="str">
        <f>"Premium contribution in year "&amp;current_year &amp;_million1</f>
        <v>Premium contribution in year 2025 (in Mio. CHF)</v>
      </c>
    </row>
    <row r="66" spans="2:6" ht="25.5">
      <c r="C66" s="151" t="s">
        <v>385</v>
      </c>
      <c r="D66" s="140" t="s">
        <v>386</v>
      </c>
      <c r="E66" s="140" t="str">
        <f>"Versement moyen aux autres membres du pool" &amp;_million1</f>
        <v>Versement moyen aux autres membres du pool (in Mio. CHF)</v>
      </c>
      <c r="F66" s="150" t="s">
        <v>387</v>
      </c>
    </row>
    <row r="67" spans="2:6">
      <c r="C67" s="151" t="s">
        <v>388</v>
      </c>
      <c r="D67" s="140" t="s">
        <v>517</v>
      </c>
      <c r="E67" s="140" t="s">
        <v>545</v>
      </c>
      <c r="F67" s="140" t="s">
        <v>521</v>
      </c>
    </row>
    <row r="68" spans="2:6" s="139" customFormat="1">
      <c r="B68" s="126"/>
      <c r="C68" s="151" t="s">
        <v>389</v>
      </c>
      <c r="D68" s="140" t="s">
        <v>390</v>
      </c>
      <c r="E68" s="140" t="s">
        <v>391</v>
      </c>
      <c r="F68" s="140" t="s">
        <v>392</v>
      </c>
    </row>
    <row r="69" spans="2:6" s="139" customFormat="1">
      <c r="B69" s="126"/>
      <c r="C69" s="151" t="s">
        <v>393</v>
      </c>
      <c r="D69" s="140" t="str">
        <f>"Statutarische Werte"</f>
        <v>Statutarische Werte</v>
      </c>
      <c r="E69" s="140" t="s">
        <v>394</v>
      </c>
      <c r="F69" s="140" t="str">
        <f>"Statutory values"</f>
        <v>Statutory values</v>
      </c>
    </row>
    <row r="70" spans="2:6" s="139" customFormat="1" ht="25.5">
      <c r="B70" s="126"/>
      <c r="C70" s="151" t="s">
        <v>395</v>
      </c>
      <c r="D70" s="140" t="str">
        <f>"Best Estimate Werte 
nicht diskontiert"</f>
        <v>Best Estimate Werte 
nicht diskontiert</v>
      </c>
      <c r="E70" s="150" t="s">
        <v>396</v>
      </c>
      <c r="F70" s="140" t="s">
        <v>536</v>
      </c>
    </row>
    <row r="71" spans="2:6" s="142" customFormat="1">
      <c r="B71" s="126"/>
      <c r="C71" s="137" t="s">
        <v>397</v>
      </c>
      <c r="D71" s="143" t="s">
        <v>398</v>
      </c>
      <c r="E71" s="140" t="s">
        <v>399</v>
      </c>
      <c r="F71" s="143" t="s">
        <v>400</v>
      </c>
    </row>
    <row r="72" spans="2:6" s="142" customFormat="1">
      <c r="B72" s="126"/>
      <c r="C72" s="137" t="s">
        <v>401</v>
      </c>
      <c r="D72" s="140" t="s">
        <v>541</v>
      </c>
      <c r="E72" s="140" t="s">
        <v>402</v>
      </c>
      <c r="F72" s="140" t="s">
        <v>403</v>
      </c>
    </row>
    <row r="73" spans="2:6" s="142" customFormat="1" ht="25.5">
      <c r="B73" s="126"/>
      <c r="C73" s="137" t="s">
        <v>501</v>
      </c>
      <c r="D73" s="140" t="s">
        <v>499</v>
      </c>
      <c r="E73" s="140" t="str">
        <f>"Réserve mathématique pour les nouvelles rentes "&amp;_million1</f>
        <v>Réserve mathématique pour les nouvelles rentes  (in Mio. CHF)</v>
      </c>
      <c r="F73" s="140" t="s">
        <v>504</v>
      </c>
    </row>
    <row r="74" spans="2:6" s="142" customFormat="1">
      <c r="B74" s="126"/>
      <c r="C74" s="137" t="s">
        <v>518</v>
      </c>
      <c r="D74" s="140" t="s">
        <v>519</v>
      </c>
      <c r="E74" s="205" t="s">
        <v>546</v>
      </c>
      <c r="F74" s="140" t="s">
        <v>520</v>
      </c>
    </row>
    <row r="75" spans="2:6" s="142" customFormat="1" ht="25.5">
      <c r="B75" s="126"/>
      <c r="C75" s="137" t="s">
        <v>533</v>
      </c>
      <c r="D75" s="140" t="str">
        <f>"Best Estimate Werte 
diskontiert"</f>
        <v>Best Estimate Werte 
diskontiert</v>
      </c>
      <c r="E75" s="206" t="s">
        <v>534</v>
      </c>
      <c r="F75" s="140" t="s">
        <v>535</v>
      </c>
    </row>
    <row r="76" spans="2:6" s="142" customFormat="1">
      <c r="B76" s="126"/>
      <c r="C76" s="137" t="s">
        <v>582</v>
      </c>
      <c r="D76" s="140" t="s">
        <v>579</v>
      </c>
      <c r="E76" s="140" t="s">
        <v>584</v>
      </c>
      <c r="F76" s="140" t="s">
        <v>583</v>
      </c>
    </row>
    <row r="78" spans="2:6">
      <c r="B78" s="128"/>
      <c r="C78" s="128" t="s">
        <v>404</v>
      </c>
      <c r="D78" s="128" t="s">
        <v>539</v>
      </c>
      <c r="E78" s="128" t="s">
        <v>405</v>
      </c>
      <c r="F78" s="128" t="s">
        <v>406</v>
      </c>
    </row>
    <row r="79" spans="2:6" s="142" customFormat="1">
      <c r="C79" s="152" t="s">
        <v>407</v>
      </c>
      <c r="D79" s="143" t="str">
        <f>"Best Estimate Werte am 1.01."&amp;current_year &amp;_million1</f>
        <v>Best Estimate Werte am 1.01.2025 (in Mio. CHF)</v>
      </c>
      <c r="E79" s="140" t="str">
        <f>"Valeur best estimate au 1.1."&amp;current_year &amp;_million1</f>
        <v>Valeur best estimate au 1.1.2025 (in Mio. CHF)</v>
      </c>
      <c r="F79" s="143" t="str">
        <f>"Best Estimate values at 1.01."&amp;current_year &amp;_million1</f>
        <v>Best Estimate values at 1.01.2025 (in Mio. CHF)</v>
      </c>
    </row>
    <row r="80" spans="2:6" s="139" customFormat="1">
      <c r="C80" s="152" t="s">
        <v>408</v>
      </c>
      <c r="D80" s="140" t="s">
        <v>409</v>
      </c>
      <c r="E80" s="140" t="s">
        <v>410</v>
      </c>
      <c r="F80" s="140" t="s">
        <v>411</v>
      </c>
    </row>
    <row r="81" spans="3:6" s="139" customFormat="1">
      <c r="C81" s="152" t="s">
        <v>412</v>
      </c>
      <c r="D81" s="140" t="str">
        <f>"diskontiert"</f>
        <v>diskontiert</v>
      </c>
      <c r="E81" s="140" t="s">
        <v>413</v>
      </c>
      <c r="F81" s="140" t="s">
        <v>414</v>
      </c>
    </row>
    <row r="82" spans="3:6" s="139" customFormat="1">
      <c r="C82" s="152" t="s">
        <v>415</v>
      </c>
      <c r="D82" s="140" t="str">
        <f>"nicht diskontiert"</f>
        <v>nicht diskontiert</v>
      </c>
      <c r="E82" s="140" t="s">
        <v>416</v>
      </c>
      <c r="F82" s="140" t="s">
        <v>417</v>
      </c>
    </row>
    <row r="83" spans="3:6" s="139" customFormat="1">
      <c r="C83" s="152" t="s">
        <v>418</v>
      </c>
      <c r="D83" s="140" t="s">
        <v>419</v>
      </c>
      <c r="E83" s="140" t="s">
        <v>420</v>
      </c>
      <c r="F83" s="140" t="s">
        <v>421</v>
      </c>
    </row>
    <row r="84" spans="3:6" s="139" customFormat="1">
      <c r="C84" s="152" t="s">
        <v>422</v>
      </c>
      <c r="D84" s="140" t="s">
        <v>423</v>
      </c>
      <c r="E84" s="140" t="s">
        <v>424</v>
      </c>
      <c r="F84" s="140" t="s">
        <v>425</v>
      </c>
    </row>
    <row r="85" spans="3:6" s="139" customFormat="1">
      <c r="C85" s="152" t="s">
        <v>426</v>
      </c>
      <c r="D85" s="140" t="s">
        <v>427</v>
      </c>
      <c r="E85" s="140" t="s">
        <v>428</v>
      </c>
      <c r="F85" s="140" t="s">
        <v>429</v>
      </c>
    </row>
    <row r="86" spans="3:6" s="142" customFormat="1">
      <c r="C86" s="152" t="s">
        <v>430</v>
      </c>
      <c r="D86" s="140" t="str">
        <f>"Zahlungen für am 1.01."&amp; current_year &amp;" bestehende Renten"</f>
        <v>Zahlungen für am 1.01.2025 bestehende Renten</v>
      </c>
      <c r="E86" s="140" t="s">
        <v>431</v>
      </c>
      <c r="F86" s="140" t="str">
        <f>"Payments for at 1.01."&amp; current_year &amp;" valid annuities"</f>
        <v>Payments for at 1.01.2025 valid annuities</v>
      </c>
    </row>
    <row r="87" spans="3:6" s="142" customFormat="1">
      <c r="C87" s="152" t="s">
        <v>432</v>
      </c>
      <c r="D87" s="140" t="str">
        <f>"Zahlungen für neue Renten ab 1.01."&amp;current_year</f>
        <v>Zahlungen für neue Renten ab 1.01.2025</v>
      </c>
      <c r="E87" s="140" t="s">
        <v>433</v>
      </c>
      <c r="F87" s="140" t="str">
        <f>"Payments for new annuities valid after 1.01."&amp; current_year</f>
        <v>Payments for new annuities valid after 1.01.2025</v>
      </c>
    </row>
    <row r="88" spans="3:6" s="142" customFormat="1">
      <c r="C88" s="152" t="s">
        <v>434</v>
      </c>
      <c r="D88" s="140" t="s">
        <v>435</v>
      </c>
      <c r="E88" s="140" t="s">
        <v>436</v>
      </c>
      <c r="F88" s="140" t="s">
        <v>437</v>
      </c>
    </row>
    <row r="89" spans="3:6" s="142" customFormat="1">
      <c r="C89" s="152" t="s">
        <v>438</v>
      </c>
      <c r="D89" s="140" t="str">
        <f>"bis 1.01."&amp;current_year &amp;" gesprochene Teuerungszulagen"</f>
        <v>bis 1.01.2025 gesprochene Teuerungszulagen</v>
      </c>
      <c r="E89" s="140" t="s">
        <v>439</v>
      </c>
      <c r="F89" s="140" t="str">
        <f>"Inflation allowence set till 1.01."&amp;current_year</f>
        <v>Inflation allowence set till 1.01.2025</v>
      </c>
    </row>
    <row r="90" spans="3:6" s="142" customFormat="1">
      <c r="C90" s="152" t="s">
        <v>440</v>
      </c>
      <c r="D90" s="140" t="str">
        <f>"ab 1.01."&amp;current_year&amp;" zuerkannte Teuerungszulagen, davon"</f>
        <v>ab 1.01.2025 zuerkannte Teuerungszulagen, davon</v>
      </c>
      <c r="E90" s="140" t="s">
        <v>441</v>
      </c>
      <c r="F90" s="140" t="str">
        <f>"Inflation allowence set after 1.01."&amp;current_year &amp;", thereof"</f>
        <v>Inflation allowence set after 1.01.2025, thereof</v>
      </c>
    </row>
    <row r="91" spans="3:6" s="142" customFormat="1">
      <c r="C91" s="152" t="s">
        <v>442</v>
      </c>
      <c r="D91" s="140" t="s">
        <v>443</v>
      </c>
      <c r="E91" s="140" t="s">
        <v>444</v>
      </c>
      <c r="F91" s="140" t="s">
        <v>445</v>
      </c>
    </row>
    <row r="92" spans="3:6" s="142" customFormat="1">
      <c r="C92" s="152" t="s">
        <v>446</v>
      </c>
      <c r="D92" s="140" t="s">
        <v>447</v>
      </c>
      <c r="E92" s="140" t="s">
        <v>448</v>
      </c>
      <c r="F92" s="140" t="s">
        <v>449</v>
      </c>
    </row>
    <row r="93" spans="3:6" s="142" customFormat="1">
      <c r="C93" s="152" t="s">
        <v>450</v>
      </c>
      <c r="D93" s="140" t="s">
        <v>451</v>
      </c>
      <c r="E93" s="140" t="s">
        <v>452</v>
      </c>
      <c r="F93" s="140" t="s">
        <v>453</v>
      </c>
    </row>
    <row r="94" spans="3:6" s="142" customFormat="1">
      <c r="C94" s="152" t="s">
        <v>454</v>
      </c>
      <c r="D94" s="140" t="s">
        <v>455</v>
      </c>
      <c r="E94" s="140" t="s">
        <v>456</v>
      </c>
      <c r="F94" s="140" t="s">
        <v>457</v>
      </c>
    </row>
    <row r="95" spans="3:6" s="142" customFormat="1">
      <c r="C95" s="152" t="s">
        <v>458</v>
      </c>
      <c r="D95" s="140" t="s">
        <v>459</v>
      </c>
      <c r="E95" s="140" t="s">
        <v>460</v>
      </c>
      <c r="F95" s="140" t="s">
        <v>461</v>
      </c>
    </row>
    <row r="96" spans="3:6" s="142" customFormat="1">
      <c r="C96" s="152" t="s">
        <v>462</v>
      </c>
      <c r="D96" s="140" t="s">
        <v>463</v>
      </c>
      <c r="E96" s="140" t="s">
        <v>464</v>
      </c>
      <c r="F96" s="140" t="s">
        <v>465</v>
      </c>
    </row>
    <row r="97" spans="2:6" s="142" customFormat="1">
      <c r="C97" s="152" t="s">
        <v>466</v>
      </c>
      <c r="D97" s="140" t="s">
        <v>467</v>
      </c>
      <c r="E97" s="140" t="s">
        <v>468</v>
      </c>
      <c r="F97" s="140" t="s">
        <v>469</v>
      </c>
    </row>
    <row r="98" spans="2:6" s="142" customFormat="1">
      <c r="C98" s="152" t="s">
        <v>470</v>
      </c>
      <c r="D98" s="140" t="s">
        <v>471</v>
      </c>
      <c r="E98" s="140" t="s">
        <v>472</v>
      </c>
      <c r="F98" s="140" t="s">
        <v>473</v>
      </c>
    </row>
    <row r="99" spans="2:6" s="142" customFormat="1">
      <c r="C99" s="152" t="s">
        <v>474</v>
      </c>
      <c r="D99" s="140" t="s">
        <v>475</v>
      </c>
      <c r="E99" s="140" t="s">
        <v>464</v>
      </c>
      <c r="F99" s="140" t="s">
        <v>476</v>
      </c>
    </row>
    <row r="100" spans="2:6" s="142" customFormat="1" ht="25.5">
      <c r="C100" s="152" t="s">
        <v>477</v>
      </c>
      <c r="D100" s="140" t="s">
        <v>478</v>
      </c>
      <c r="E100" s="140" t="s">
        <v>479</v>
      </c>
      <c r="F100" s="140" t="s">
        <v>480</v>
      </c>
    </row>
    <row r="101" spans="2:6" s="142" customFormat="1" ht="25.5">
      <c r="C101" s="152" t="s">
        <v>481</v>
      </c>
      <c r="D101" s="140" t="s">
        <v>482</v>
      </c>
      <c r="E101" s="140" t="s">
        <v>483</v>
      </c>
      <c r="F101" s="140" t="s">
        <v>484</v>
      </c>
    </row>
    <row r="102" spans="2:6">
      <c r="C102" s="152" t="s">
        <v>485</v>
      </c>
      <c r="D102" s="143" t="s">
        <v>486</v>
      </c>
      <c r="E102" s="140" t="s">
        <v>487</v>
      </c>
      <c r="F102" s="143" t="s">
        <v>488</v>
      </c>
    </row>
    <row r="103" spans="2:6">
      <c r="C103" s="152" t="s">
        <v>489</v>
      </c>
      <c r="D103" s="143" t="s">
        <v>490</v>
      </c>
      <c r="E103" s="140" t="s">
        <v>464</v>
      </c>
      <c r="F103" s="143" t="s">
        <v>476</v>
      </c>
    </row>
    <row r="104" spans="2:6">
      <c r="C104" s="152" t="s">
        <v>529</v>
      </c>
      <c r="D104" s="140" t="s">
        <v>530</v>
      </c>
      <c r="E104" s="205" t="s">
        <v>547</v>
      </c>
      <c r="F104" s="143" t="s">
        <v>531</v>
      </c>
    </row>
    <row r="105" spans="2:6">
      <c r="C105" s="152" t="s">
        <v>542</v>
      </c>
      <c r="D105" s="201" t="s">
        <v>532</v>
      </c>
      <c r="E105" s="207" t="s">
        <v>548</v>
      </c>
      <c r="F105" s="143"/>
    </row>
    <row r="106" spans="2:6" ht="25.5">
      <c r="C106" s="152" t="s">
        <v>543</v>
      </c>
      <c r="D106" s="203" t="s">
        <v>553</v>
      </c>
      <c r="E106" s="207" t="s">
        <v>586</v>
      </c>
      <c r="F106" s="143"/>
    </row>
    <row r="107" spans="2:6">
      <c r="C107" s="152" t="s">
        <v>549</v>
      </c>
      <c r="D107" s="140" t="s">
        <v>550</v>
      </c>
      <c r="E107" s="220" t="s">
        <v>551</v>
      </c>
      <c r="F107" s="143" t="s">
        <v>552</v>
      </c>
    </row>
    <row r="108" spans="2:6">
      <c r="B108" s="126" t="str">
        <f>IF(Language="EN",$F108,IF(Language="DE",$D108,$E108))</f>
        <v xml:space="preserve">Anfang </v>
      </c>
      <c r="C108" s="152" t="s">
        <v>491</v>
      </c>
      <c r="D108" s="143" t="s">
        <v>492</v>
      </c>
      <c r="E108" s="140" t="s">
        <v>493</v>
      </c>
      <c r="F108" s="143" t="s">
        <v>494</v>
      </c>
    </row>
    <row r="109" spans="2:6">
      <c r="B109" s="126" t="str">
        <f>IF(Language="EN",$F109,IF(Language="DE",$D109,$E109))</f>
        <v xml:space="preserve">Ende </v>
      </c>
      <c r="C109" s="152" t="s">
        <v>495</v>
      </c>
      <c r="D109" s="143" t="s">
        <v>496</v>
      </c>
      <c r="E109" s="140" t="s">
        <v>497</v>
      </c>
      <c r="F109" s="143" t="s">
        <v>498</v>
      </c>
    </row>
    <row r="110" spans="2:6">
      <c r="C110" s="144"/>
      <c r="D110" s="154"/>
      <c r="E110" s="154"/>
      <c r="F110" s="154"/>
    </row>
    <row r="111" spans="2:6">
      <c r="C111" s="126" t="s">
        <v>686</v>
      </c>
      <c r="D111" s="234" t="s">
        <v>687</v>
      </c>
      <c r="E111" s="234" t="s">
        <v>688</v>
      </c>
      <c r="F111" s="234" t="s">
        <v>689</v>
      </c>
    </row>
    <row r="112" spans="2:6">
      <c r="C112" s="126" t="s">
        <v>697</v>
      </c>
      <c r="D112" s="129" t="s">
        <v>690</v>
      </c>
      <c r="E112" s="129" t="s">
        <v>691</v>
      </c>
      <c r="F112" s="129" t="s">
        <v>691</v>
      </c>
    </row>
    <row r="113" spans="3:6">
      <c r="C113" s="126" t="s">
        <v>698</v>
      </c>
      <c r="D113" s="129" t="s">
        <v>692</v>
      </c>
      <c r="E113" s="129" t="s">
        <v>693</v>
      </c>
      <c r="F113" s="129" t="s">
        <v>694</v>
      </c>
    </row>
    <row r="114" spans="3:6">
      <c r="C114" s="126" t="s">
        <v>699</v>
      </c>
      <c r="D114" s="129" t="s">
        <v>695</v>
      </c>
      <c r="E114" s="129" t="s">
        <v>696</v>
      </c>
      <c r="F114" s="129" t="s">
        <v>216</v>
      </c>
    </row>
    <row r="115" spans="3:6">
      <c r="C115" s="126" t="s">
        <v>701</v>
      </c>
      <c r="D115" s="129" t="s">
        <v>702</v>
      </c>
      <c r="E115" s="129" t="s">
        <v>703</v>
      </c>
      <c r="F115" s="129" t="s">
        <v>704</v>
      </c>
    </row>
  </sheetData>
  <phoneticPr fontId="2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9E2D9-85E0-4E3E-83D6-420F9C22250B}">
  <dimension ref="A1:T1256"/>
  <sheetViews>
    <sheetView workbookViewId="0">
      <selection activeCell="F287" sqref="F287"/>
    </sheetView>
  </sheetViews>
  <sheetFormatPr defaultRowHeight="12.75"/>
  <cols>
    <col min="4" max="4" width="16.5703125" customWidth="1"/>
    <col min="5" max="5" width="19" customWidth="1"/>
    <col min="6" max="6" width="12.140625" customWidth="1"/>
    <col min="7" max="7" width="14.28515625" customWidth="1"/>
    <col min="8" max="8" width="14.42578125" customWidth="1"/>
    <col min="9" max="9" width="11.28515625" customWidth="1"/>
    <col min="10" max="10" width="10" customWidth="1"/>
    <col min="12" max="12" width="25.140625" customWidth="1"/>
    <col min="13" max="13" width="25.42578125" customWidth="1"/>
    <col min="14" max="14" width="20.28515625" customWidth="1"/>
    <col min="16" max="16" width="9.7109375" customWidth="1"/>
    <col min="17" max="17" width="9.28515625" customWidth="1"/>
    <col min="18" max="18" width="16.42578125" customWidth="1"/>
    <col min="19" max="19" width="18.42578125" customWidth="1"/>
    <col min="20" max="20" width="13.42578125" customWidth="1"/>
  </cols>
  <sheetData>
    <row r="1" spans="1:20">
      <c r="A1" t="s">
        <v>27</v>
      </c>
      <c r="B1" t="s">
        <v>28</v>
      </c>
      <c r="C1" t="s">
        <v>29</v>
      </c>
      <c r="D1" t="s">
        <v>30</v>
      </c>
      <c r="E1" t="s">
        <v>31</v>
      </c>
      <c r="F1" t="s">
        <v>32</v>
      </c>
      <c r="G1" t="s">
        <v>33</v>
      </c>
      <c r="H1" t="s">
        <v>34</v>
      </c>
      <c r="I1" t="s">
        <v>35</v>
      </c>
      <c r="J1" t="s">
        <v>36</v>
      </c>
      <c r="K1" t="s">
        <v>37</v>
      </c>
      <c r="L1" t="s">
        <v>38</v>
      </c>
      <c r="M1" t="s">
        <v>39</v>
      </c>
      <c r="N1" t="s">
        <v>40</v>
      </c>
      <c r="O1" t="s">
        <v>41</v>
      </c>
      <c r="P1" t="s">
        <v>42</v>
      </c>
      <c r="Q1" t="s">
        <v>43</v>
      </c>
      <c r="R1" t="s">
        <v>44</v>
      </c>
      <c r="S1" t="s">
        <v>45</v>
      </c>
      <c r="T1" t="s">
        <v>46</v>
      </c>
    </row>
    <row r="2" spans="1:20">
      <c r="A2" t="s">
        <v>47</v>
      </c>
      <c r="B2" t="s">
        <v>48</v>
      </c>
      <c r="C2" t="s">
        <v>49</v>
      </c>
      <c r="D2" t="s">
        <v>50</v>
      </c>
      <c r="E2" t="s">
        <v>51</v>
      </c>
      <c r="F2" t="s">
        <v>51</v>
      </c>
      <c r="G2" t="s">
        <v>52</v>
      </c>
      <c r="H2" t="s">
        <v>52</v>
      </c>
      <c r="I2" t="s">
        <v>52</v>
      </c>
      <c r="J2" t="s">
        <v>52</v>
      </c>
      <c r="K2" t="s">
        <v>52</v>
      </c>
      <c r="L2" t="s">
        <v>53</v>
      </c>
      <c r="M2" t="s">
        <v>54</v>
      </c>
      <c r="N2" t="s">
        <v>55</v>
      </c>
      <c r="O2" t="s">
        <v>56</v>
      </c>
      <c r="P2" t="s">
        <v>56</v>
      </c>
      <c r="Q2" t="s">
        <v>51</v>
      </c>
      <c r="R2" t="s">
        <v>51</v>
      </c>
      <c r="S2" t="s">
        <v>51</v>
      </c>
      <c r="T2" t="s">
        <v>51</v>
      </c>
    </row>
    <row r="3" spans="1:20">
      <c r="A3" t="s">
        <v>57</v>
      </c>
      <c r="B3" t="s">
        <v>58</v>
      </c>
      <c r="C3" t="s">
        <v>49</v>
      </c>
      <c r="D3" t="s">
        <v>50</v>
      </c>
      <c r="E3" t="s">
        <v>51</v>
      </c>
      <c r="F3" t="s">
        <v>51</v>
      </c>
      <c r="G3" t="s">
        <v>52</v>
      </c>
      <c r="H3" t="s">
        <v>52</v>
      </c>
      <c r="I3" t="s">
        <v>52</v>
      </c>
      <c r="J3" t="s">
        <v>52</v>
      </c>
      <c r="K3" t="s">
        <v>52</v>
      </c>
      <c r="L3" t="s">
        <v>53</v>
      </c>
      <c r="M3" t="s">
        <v>54</v>
      </c>
      <c r="N3" t="s">
        <v>55</v>
      </c>
      <c r="O3" t="s">
        <v>56</v>
      </c>
      <c r="P3" t="s">
        <v>56</v>
      </c>
      <c r="Q3" t="s">
        <v>51</v>
      </c>
      <c r="R3" t="s">
        <v>51</v>
      </c>
      <c r="S3" t="s">
        <v>51</v>
      </c>
      <c r="T3" t="s">
        <v>51</v>
      </c>
    </row>
    <row r="4" spans="1:20">
      <c r="A4" t="s">
        <v>59</v>
      </c>
      <c r="B4" t="s">
        <v>60</v>
      </c>
      <c r="C4" t="s">
        <v>49</v>
      </c>
      <c r="D4" t="s">
        <v>50</v>
      </c>
      <c r="E4" t="s">
        <v>51</v>
      </c>
      <c r="F4" t="s">
        <v>51</v>
      </c>
      <c r="G4" t="s">
        <v>52</v>
      </c>
      <c r="H4" t="s">
        <v>52</v>
      </c>
      <c r="I4" t="s">
        <v>52</v>
      </c>
      <c r="J4" t="s">
        <v>52</v>
      </c>
      <c r="K4" t="s">
        <v>52</v>
      </c>
      <c r="L4" t="s">
        <v>53</v>
      </c>
      <c r="M4" t="s">
        <v>54</v>
      </c>
      <c r="N4" t="s">
        <v>55</v>
      </c>
      <c r="O4" t="s">
        <v>56</v>
      </c>
      <c r="P4" t="s">
        <v>56</v>
      </c>
      <c r="Q4" t="s">
        <v>51</v>
      </c>
      <c r="R4" t="s">
        <v>51</v>
      </c>
      <c r="S4" t="s">
        <v>51</v>
      </c>
      <c r="T4" t="s">
        <v>51</v>
      </c>
    </row>
    <row r="5" spans="1:20">
      <c r="A5" t="s">
        <v>61</v>
      </c>
      <c r="B5" t="s">
        <v>62</v>
      </c>
      <c r="C5" t="s">
        <v>49</v>
      </c>
      <c r="D5" t="s">
        <v>50</v>
      </c>
      <c r="E5" t="s">
        <v>51</v>
      </c>
      <c r="F5" t="s">
        <v>51</v>
      </c>
      <c r="G5" t="s">
        <v>52</v>
      </c>
      <c r="H5" t="s">
        <v>52</v>
      </c>
      <c r="I5" t="s">
        <v>52</v>
      </c>
      <c r="J5" t="s">
        <v>52</v>
      </c>
      <c r="K5" t="s">
        <v>52</v>
      </c>
      <c r="L5" t="s">
        <v>53</v>
      </c>
      <c r="M5" t="s">
        <v>54</v>
      </c>
      <c r="N5" t="s">
        <v>55</v>
      </c>
      <c r="O5" t="s">
        <v>56</v>
      </c>
      <c r="P5" t="s">
        <v>56</v>
      </c>
      <c r="Q5" t="s">
        <v>51</v>
      </c>
      <c r="R5" t="s">
        <v>51</v>
      </c>
      <c r="S5" t="s">
        <v>51</v>
      </c>
      <c r="T5" t="s">
        <v>51</v>
      </c>
    </row>
    <row r="6" spans="1:20">
      <c r="A6" t="s">
        <v>63</v>
      </c>
      <c r="B6" t="s">
        <v>56</v>
      </c>
      <c r="C6" t="s">
        <v>49</v>
      </c>
      <c r="D6" t="s">
        <v>50</v>
      </c>
      <c r="E6" t="s">
        <v>51</v>
      </c>
      <c r="F6" t="s">
        <v>51</v>
      </c>
      <c r="G6" t="s">
        <v>52</v>
      </c>
      <c r="H6" t="s">
        <v>52</v>
      </c>
      <c r="I6" t="s">
        <v>52</v>
      </c>
      <c r="J6" t="s">
        <v>52</v>
      </c>
      <c r="K6" t="s">
        <v>52</v>
      </c>
      <c r="L6" t="s">
        <v>53</v>
      </c>
      <c r="M6" t="s">
        <v>54</v>
      </c>
      <c r="N6" t="s">
        <v>55</v>
      </c>
      <c r="O6" t="s">
        <v>56</v>
      </c>
      <c r="P6" t="s">
        <v>56</v>
      </c>
      <c r="Q6" t="s">
        <v>51</v>
      </c>
      <c r="R6" t="s">
        <v>51</v>
      </c>
      <c r="S6" t="s">
        <v>51</v>
      </c>
      <c r="T6" t="s">
        <v>51</v>
      </c>
    </row>
    <row r="7" spans="1:20">
      <c r="A7" t="s">
        <v>64</v>
      </c>
      <c r="B7" t="s">
        <v>65</v>
      </c>
      <c r="C7" t="s">
        <v>49</v>
      </c>
      <c r="D7" t="s">
        <v>50</v>
      </c>
      <c r="E7" t="s">
        <v>51</v>
      </c>
      <c r="F7" t="s">
        <v>51</v>
      </c>
      <c r="G7" t="s">
        <v>52</v>
      </c>
      <c r="H7" t="s">
        <v>52</v>
      </c>
      <c r="I7" t="s">
        <v>52</v>
      </c>
      <c r="J7" t="s">
        <v>52</v>
      </c>
      <c r="K7" t="s">
        <v>52</v>
      </c>
      <c r="L7" t="s">
        <v>53</v>
      </c>
      <c r="M7" t="s">
        <v>54</v>
      </c>
      <c r="N7" t="s">
        <v>55</v>
      </c>
      <c r="O7" t="s">
        <v>56</v>
      </c>
      <c r="P7" t="s">
        <v>56</v>
      </c>
      <c r="Q7" t="s">
        <v>51</v>
      </c>
      <c r="R7" t="s">
        <v>51</v>
      </c>
      <c r="S7" t="s">
        <v>51</v>
      </c>
      <c r="T7" t="s">
        <v>51</v>
      </c>
    </row>
    <row r="8" spans="1:20">
      <c r="A8" t="s">
        <v>66</v>
      </c>
      <c r="B8" t="s">
        <v>67</v>
      </c>
      <c r="C8" t="s">
        <v>49</v>
      </c>
      <c r="D8" t="s">
        <v>50</v>
      </c>
      <c r="E8" t="s">
        <v>51</v>
      </c>
      <c r="F8" t="s">
        <v>51</v>
      </c>
      <c r="G8" t="s">
        <v>52</v>
      </c>
      <c r="H8" t="s">
        <v>52</v>
      </c>
      <c r="I8" t="s">
        <v>52</v>
      </c>
      <c r="J8" t="s">
        <v>52</v>
      </c>
      <c r="K8" t="s">
        <v>52</v>
      </c>
      <c r="L8" t="s">
        <v>53</v>
      </c>
      <c r="M8" t="s">
        <v>54</v>
      </c>
      <c r="N8" t="s">
        <v>55</v>
      </c>
      <c r="O8" t="s">
        <v>56</v>
      </c>
      <c r="P8" t="s">
        <v>56</v>
      </c>
      <c r="Q8" t="s">
        <v>51</v>
      </c>
      <c r="R8" t="s">
        <v>51</v>
      </c>
      <c r="S8" t="s">
        <v>51</v>
      </c>
      <c r="T8" t="s">
        <v>51</v>
      </c>
    </row>
    <row r="9" spans="1:20">
      <c r="A9" t="s">
        <v>68</v>
      </c>
      <c r="B9" t="s">
        <v>69</v>
      </c>
      <c r="C9" t="s">
        <v>49</v>
      </c>
      <c r="D9" t="s">
        <v>50</v>
      </c>
      <c r="E9" t="s">
        <v>51</v>
      </c>
      <c r="F9" t="s">
        <v>51</v>
      </c>
      <c r="G9" t="s">
        <v>52</v>
      </c>
      <c r="H9" t="s">
        <v>52</v>
      </c>
      <c r="I9" t="s">
        <v>52</v>
      </c>
      <c r="J9" t="s">
        <v>52</v>
      </c>
      <c r="K9" t="s">
        <v>52</v>
      </c>
      <c r="L9" t="s">
        <v>53</v>
      </c>
      <c r="M9" t="s">
        <v>54</v>
      </c>
      <c r="N9" t="s">
        <v>55</v>
      </c>
      <c r="O9" t="s">
        <v>56</v>
      </c>
      <c r="P9" t="s">
        <v>56</v>
      </c>
      <c r="Q9" t="s">
        <v>51</v>
      </c>
      <c r="R9" t="s">
        <v>51</v>
      </c>
      <c r="S9" t="s">
        <v>51</v>
      </c>
      <c r="T9" t="s">
        <v>51</v>
      </c>
    </row>
    <row r="10" spans="1:20">
      <c r="A10" t="s">
        <v>70</v>
      </c>
      <c r="B10" t="s">
        <v>71</v>
      </c>
      <c r="C10" t="s">
        <v>49</v>
      </c>
      <c r="D10" t="s">
        <v>50</v>
      </c>
      <c r="E10" t="s">
        <v>51</v>
      </c>
      <c r="F10" t="s">
        <v>51</v>
      </c>
      <c r="G10" t="s">
        <v>52</v>
      </c>
      <c r="H10" t="s">
        <v>52</v>
      </c>
      <c r="I10" t="s">
        <v>52</v>
      </c>
      <c r="J10" t="s">
        <v>52</v>
      </c>
      <c r="K10" t="s">
        <v>52</v>
      </c>
      <c r="L10" t="s">
        <v>53</v>
      </c>
      <c r="M10" t="s">
        <v>54</v>
      </c>
      <c r="N10" t="s">
        <v>55</v>
      </c>
      <c r="O10" t="s">
        <v>56</v>
      </c>
      <c r="P10" t="s">
        <v>56</v>
      </c>
      <c r="Q10" t="s">
        <v>51</v>
      </c>
      <c r="R10" t="s">
        <v>51</v>
      </c>
      <c r="S10" t="s">
        <v>51</v>
      </c>
      <c r="T10" t="s">
        <v>51</v>
      </c>
    </row>
    <row r="11" spans="1:20">
      <c r="A11" t="s">
        <v>72</v>
      </c>
      <c r="B11" t="s">
        <v>73</v>
      </c>
      <c r="C11" t="s">
        <v>49</v>
      </c>
      <c r="D11" t="s">
        <v>50</v>
      </c>
      <c r="E11" t="s">
        <v>51</v>
      </c>
      <c r="F11" t="s">
        <v>51</v>
      </c>
      <c r="G11" t="s">
        <v>52</v>
      </c>
      <c r="H11" t="s">
        <v>52</v>
      </c>
      <c r="I11" t="s">
        <v>52</v>
      </c>
      <c r="J11" t="s">
        <v>52</v>
      </c>
      <c r="K11" t="s">
        <v>52</v>
      </c>
      <c r="L11" t="s">
        <v>53</v>
      </c>
      <c r="M11" t="s">
        <v>54</v>
      </c>
      <c r="N11" t="s">
        <v>55</v>
      </c>
      <c r="O11" t="s">
        <v>56</v>
      </c>
      <c r="P11" t="s">
        <v>56</v>
      </c>
      <c r="Q11" t="s">
        <v>51</v>
      </c>
      <c r="R11" t="s">
        <v>51</v>
      </c>
      <c r="S11" t="s">
        <v>51</v>
      </c>
      <c r="T11" t="s">
        <v>51</v>
      </c>
    </row>
    <row r="12" spans="1:20">
      <c r="A12" t="s">
        <v>74</v>
      </c>
      <c r="B12" t="s">
        <v>75</v>
      </c>
      <c r="C12" t="s">
        <v>49</v>
      </c>
      <c r="D12" t="s">
        <v>50</v>
      </c>
      <c r="E12" t="s">
        <v>51</v>
      </c>
      <c r="F12" t="s">
        <v>51</v>
      </c>
      <c r="G12" t="s">
        <v>52</v>
      </c>
      <c r="H12" t="s">
        <v>52</v>
      </c>
      <c r="I12" t="s">
        <v>52</v>
      </c>
      <c r="J12" t="s">
        <v>52</v>
      </c>
      <c r="K12" t="s">
        <v>52</v>
      </c>
      <c r="L12" t="s">
        <v>53</v>
      </c>
      <c r="M12" t="s">
        <v>54</v>
      </c>
      <c r="N12" t="s">
        <v>55</v>
      </c>
      <c r="O12" t="s">
        <v>56</v>
      </c>
      <c r="P12" t="s">
        <v>56</v>
      </c>
      <c r="Q12" t="s">
        <v>51</v>
      </c>
      <c r="R12" t="s">
        <v>51</v>
      </c>
      <c r="S12" t="s">
        <v>51</v>
      </c>
      <c r="T12" t="s">
        <v>51</v>
      </c>
    </row>
    <row r="13" spans="1:20">
      <c r="A13" t="s">
        <v>76</v>
      </c>
      <c r="B13" t="s">
        <v>77</v>
      </c>
      <c r="C13" t="s">
        <v>49</v>
      </c>
      <c r="D13" t="s">
        <v>50</v>
      </c>
      <c r="E13" t="s">
        <v>51</v>
      </c>
      <c r="F13" t="s">
        <v>51</v>
      </c>
      <c r="G13" t="s">
        <v>52</v>
      </c>
      <c r="H13" t="s">
        <v>52</v>
      </c>
      <c r="I13" t="s">
        <v>52</v>
      </c>
      <c r="J13" t="s">
        <v>52</v>
      </c>
      <c r="K13" t="s">
        <v>52</v>
      </c>
      <c r="L13" t="s">
        <v>53</v>
      </c>
      <c r="M13" t="s">
        <v>54</v>
      </c>
      <c r="N13" t="s">
        <v>55</v>
      </c>
      <c r="O13" t="s">
        <v>56</v>
      </c>
      <c r="P13" t="s">
        <v>56</v>
      </c>
      <c r="Q13" t="s">
        <v>51</v>
      </c>
      <c r="R13" t="s">
        <v>51</v>
      </c>
      <c r="S13" t="s">
        <v>51</v>
      </c>
      <c r="T13" t="s">
        <v>51</v>
      </c>
    </row>
    <row r="14" spans="1:20">
      <c r="A14" t="s">
        <v>78</v>
      </c>
      <c r="B14" t="s">
        <v>79</v>
      </c>
      <c r="C14" t="s">
        <v>49</v>
      </c>
      <c r="D14" t="s">
        <v>50</v>
      </c>
      <c r="E14" t="s">
        <v>51</v>
      </c>
      <c r="F14" t="s">
        <v>51</v>
      </c>
      <c r="G14" t="s">
        <v>52</v>
      </c>
      <c r="H14" t="s">
        <v>52</v>
      </c>
      <c r="I14" t="s">
        <v>52</v>
      </c>
      <c r="J14" t="s">
        <v>52</v>
      </c>
      <c r="K14" t="s">
        <v>52</v>
      </c>
      <c r="L14" t="s">
        <v>53</v>
      </c>
      <c r="M14" t="s">
        <v>54</v>
      </c>
      <c r="N14" t="s">
        <v>55</v>
      </c>
      <c r="O14" t="s">
        <v>56</v>
      </c>
      <c r="P14" t="s">
        <v>56</v>
      </c>
      <c r="Q14" t="s">
        <v>51</v>
      </c>
      <c r="R14" t="s">
        <v>51</v>
      </c>
      <c r="S14" t="s">
        <v>51</v>
      </c>
      <c r="T14" t="s">
        <v>51</v>
      </c>
    </row>
    <row r="15" spans="1:20">
      <c r="A15" t="s">
        <v>80</v>
      </c>
      <c r="B15" t="s">
        <v>81</v>
      </c>
      <c r="C15" t="s">
        <v>49</v>
      </c>
      <c r="D15" t="s">
        <v>50</v>
      </c>
      <c r="E15" t="s">
        <v>51</v>
      </c>
      <c r="F15" t="s">
        <v>51</v>
      </c>
      <c r="G15" t="s">
        <v>52</v>
      </c>
      <c r="H15" t="s">
        <v>52</v>
      </c>
      <c r="I15" t="s">
        <v>52</v>
      </c>
      <c r="J15" t="s">
        <v>52</v>
      </c>
      <c r="K15" t="s">
        <v>52</v>
      </c>
      <c r="L15" t="s">
        <v>53</v>
      </c>
      <c r="M15" t="s">
        <v>54</v>
      </c>
      <c r="N15" t="s">
        <v>55</v>
      </c>
      <c r="O15" t="s">
        <v>56</v>
      </c>
      <c r="P15" t="s">
        <v>56</v>
      </c>
      <c r="Q15" t="s">
        <v>51</v>
      </c>
      <c r="R15" t="s">
        <v>51</v>
      </c>
      <c r="S15" t="s">
        <v>51</v>
      </c>
      <c r="T15" t="s">
        <v>51</v>
      </c>
    </row>
    <row r="16" spans="1:20">
      <c r="A16" t="s">
        <v>82</v>
      </c>
      <c r="B16" t="s">
        <v>83</v>
      </c>
      <c r="C16" t="s">
        <v>49</v>
      </c>
      <c r="D16" t="s">
        <v>50</v>
      </c>
      <c r="E16" t="s">
        <v>51</v>
      </c>
      <c r="F16" t="s">
        <v>51</v>
      </c>
      <c r="G16" t="s">
        <v>52</v>
      </c>
      <c r="H16" t="s">
        <v>52</v>
      </c>
      <c r="I16" t="s">
        <v>52</v>
      </c>
      <c r="J16" t="s">
        <v>52</v>
      </c>
      <c r="K16" t="s">
        <v>52</v>
      </c>
      <c r="L16" t="s">
        <v>53</v>
      </c>
      <c r="M16" t="s">
        <v>54</v>
      </c>
      <c r="N16" t="s">
        <v>55</v>
      </c>
      <c r="O16" t="s">
        <v>56</v>
      </c>
      <c r="P16" t="s">
        <v>56</v>
      </c>
      <c r="Q16" t="s">
        <v>51</v>
      </c>
      <c r="R16" t="s">
        <v>51</v>
      </c>
      <c r="S16" t="s">
        <v>51</v>
      </c>
      <c r="T16" t="s">
        <v>51</v>
      </c>
    </row>
    <row r="17" spans="1:20">
      <c r="A17" t="s">
        <v>84</v>
      </c>
      <c r="B17" t="s">
        <v>85</v>
      </c>
      <c r="C17" t="s">
        <v>49</v>
      </c>
      <c r="D17" t="s">
        <v>50</v>
      </c>
      <c r="E17" t="s">
        <v>51</v>
      </c>
      <c r="F17" t="s">
        <v>51</v>
      </c>
      <c r="G17" t="s">
        <v>52</v>
      </c>
      <c r="H17" t="s">
        <v>52</v>
      </c>
      <c r="I17" t="s">
        <v>52</v>
      </c>
      <c r="J17" t="s">
        <v>52</v>
      </c>
      <c r="K17" t="s">
        <v>52</v>
      </c>
      <c r="L17" t="s">
        <v>53</v>
      </c>
      <c r="M17" t="s">
        <v>54</v>
      </c>
      <c r="N17" t="s">
        <v>55</v>
      </c>
      <c r="O17" t="s">
        <v>56</v>
      </c>
      <c r="P17" t="s">
        <v>56</v>
      </c>
      <c r="Q17" t="s">
        <v>51</v>
      </c>
      <c r="R17" t="s">
        <v>51</v>
      </c>
      <c r="S17" t="s">
        <v>51</v>
      </c>
      <c r="T17" t="s">
        <v>51</v>
      </c>
    </row>
    <row r="18" spans="1:20">
      <c r="A18" t="s">
        <v>86</v>
      </c>
      <c r="B18" t="s">
        <v>87</v>
      </c>
      <c r="C18" t="s">
        <v>49</v>
      </c>
      <c r="D18" t="s">
        <v>50</v>
      </c>
      <c r="E18" t="s">
        <v>51</v>
      </c>
      <c r="F18" t="s">
        <v>51</v>
      </c>
      <c r="G18" t="s">
        <v>52</v>
      </c>
      <c r="H18" t="s">
        <v>52</v>
      </c>
      <c r="I18" t="s">
        <v>52</v>
      </c>
      <c r="J18" t="s">
        <v>52</v>
      </c>
      <c r="K18" t="s">
        <v>52</v>
      </c>
      <c r="L18" t="s">
        <v>53</v>
      </c>
      <c r="M18" t="s">
        <v>54</v>
      </c>
      <c r="N18" t="s">
        <v>55</v>
      </c>
      <c r="O18" t="s">
        <v>56</v>
      </c>
      <c r="P18" t="s">
        <v>56</v>
      </c>
      <c r="Q18" t="s">
        <v>51</v>
      </c>
      <c r="R18" t="s">
        <v>51</v>
      </c>
      <c r="S18" t="s">
        <v>51</v>
      </c>
      <c r="T18" t="s">
        <v>51</v>
      </c>
    </row>
    <row r="19" spans="1:20">
      <c r="A19" t="s">
        <v>88</v>
      </c>
      <c r="B19" t="s">
        <v>89</v>
      </c>
      <c r="C19" t="s">
        <v>49</v>
      </c>
      <c r="D19" t="s">
        <v>50</v>
      </c>
      <c r="E19" t="s">
        <v>51</v>
      </c>
      <c r="F19" t="s">
        <v>51</v>
      </c>
      <c r="G19" t="s">
        <v>52</v>
      </c>
      <c r="H19" t="s">
        <v>52</v>
      </c>
      <c r="I19" t="s">
        <v>52</v>
      </c>
      <c r="J19" t="s">
        <v>52</v>
      </c>
      <c r="K19" t="s">
        <v>52</v>
      </c>
      <c r="L19" t="s">
        <v>53</v>
      </c>
      <c r="M19" t="s">
        <v>54</v>
      </c>
      <c r="N19" t="s">
        <v>55</v>
      </c>
      <c r="O19" t="s">
        <v>56</v>
      </c>
      <c r="P19" t="s">
        <v>56</v>
      </c>
      <c r="Q19" t="s">
        <v>51</v>
      </c>
      <c r="R19" t="s">
        <v>51</v>
      </c>
      <c r="S19" t="s">
        <v>51</v>
      </c>
      <c r="T19" t="s">
        <v>51</v>
      </c>
    </row>
    <row r="20" spans="1:20">
      <c r="A20" t="s">
        <v>90</v>
      </c>
      <c r="B20" t="s">
        <v>91</v>
      </c>
      <c r="C20" t="s">
        <v>49</v>
      </c>
      <c r="D20" t="s">
        <v>50</v>
      </c>
      <c r="E20" t="s">
        <v>51</v>
      </c>
      <c r="F20" t="s">
        <v>51</v>
      </c>
      <c r="G20" t="s">
        <v>52</v>
      </c>
      <c r="H20" t="s">
        <v>52</v>
      </c>
      <c r="I20" t="s">
        <v>52</v>
      </c>
      <c r="J20" t="s">
        <v>52</v>
      </c>
      <c r="K20" t="s">
        <v>52</v>
      </c>
      <c r="L20" t="s">
        <v>53</v>
      </c>
      <c r="M20" t="s">
        <v>54</v>
      </c>
      <c r="N20" t="s">
        <v>55</v>
      </c>
      <c r="O20" t="s">
        <v>56</v>
      </c>
      <c r="P20" t="s">
        <v>56</v>
      </c>
      <c r="Q20" t="s">
        <v>51</v>
      </c>
      <c r="R20" t="s">
        <v>51</v>
      </c>
      <c r="S20" t="s">
        <v>51</v>
      </c>
      <c r="T20" t="s">
        <v>51</v>
      </c>
    </row>
    <row r="21" spans="1:20">
      <c r="A21" t="s">
        <v>92</v>
      </c>
      <c r="B21" t="s">
        <v>93</v>
      </c>
      <c r="C21" t="s">
        <v>49</v>
      </c>
      <c r="D21" t="s">
        <v>50</v>
      </c>
      <c r="E21" t="s">
        <v>51</v>
      </c>
      <c r="F21" t="s">
        <v>51</v>
      </c>
      <c r="G21" t="s">
        <v>52</v>
      </c>
      <c r="H21" t="s">
        <v>52</v>
      </c>
      <c r="I21" t="s">
        <v>52</v>
      </c>
      <c r="J21" t="s">
        <v>52</v>
      </c>
      <c r="K21" t="s">
        <v>52</v>
      </c>
      <c r="L21" t="s">
        <v>53</v>
      </c>
      <c r="M21" t="s">
        <v>54</v>
      </c>
      <c r="N21" t="s">
        <v>55</v>
      </c>
      <c r="O21" t="s">
        <v>56</v>
      </c>
      <c r="P21" t="s">
        <v>56</v>
      </c>
      <c r="Q21" t="s">
        <v>51</v>
      </c>
      <c r="R21" t="s">
        <v>51</v>
      </c>
      <c r="S21" t="s">
        <v>51</v>
      </c>
      <c r="T21" t="s">
        <v>51</v>
      </c>
    </row>
    <row r="22" spans="1:20">
      <c r="A22" t="s">
        <v>94</v>
      </c>
      <c r="B22" t="s">
        <v>95</v>
      </c>
      <c r="C22" t="s">
        <v>49</v>
      </c>
      <c r="D22" t="s">
        <v>50</v>
      </c>
      <c r="E22" t="s">
        <v>51</v>
      </c>
      <c r="F22" t="s">
        <v>51</v>
      </c>
      <c r="G22" t="s">
        <v>52</v>
      </c>
      <c r="H22" t="s">
        <v>52</v>
      </c>
      <c r="I22" t="s">
        <v>52</v>
      </c>
      <c r="J22" t="s">
        <v>52</v>
      </c>
      <c r="K22" t="s">
        <v>52</v>
      </c>
      <c r="L22" t="s">
        <v>53</v>
      </c>
      <c r="M22" t="s">
        <v>54</v>
      </c>
      <c r="N22" t="s">
        <v>55</v>
      </c>
      <c r="O22" t="s">
        <v>56</v>
      </c>
      <c r="P22" t="s">
        <v>56</v>
      </c>
      <c r="Q22" t="s">
        <v>51</v>
      </c>
      <c r="R22" t="s">
        <v>51</v>
      </c>
      <c r="S22" t="s">
        <v>51</v>
      </c>
      <c r="T22" t="s">
        <v>51</v>
      </c>
    </row>
    <row r="23" spans="1:20">
      <c r="A23" t="s">
        <v>96</v>
      </c>
      <c r="B23" t="s">
        <v>97</v>
      </c>
      <c r="C23" t="s">
        <v>49</v>
      </c>
      <c r="D23" t="s">
        <v>50</v>
      </c>
      <c r="E23" t="s">
        <v>51</v>
      </c>
      <c r="F23" t="s">
        <v>51</v>
      </c>
      <c r="G23" t="s">
        <v>52</v>
      </c>
      <c r="H23" t="s">
        <v>52</v>
      </c>
      <c r="I23" t="s">
        <v>52</v>
      </c>
      <c r="J23" t="s">
        <v>52</v>
      </c>
      <c r="K23" t="s">
        <v>52</v>
      </c>
      <c r="L23" t="s">
        <v>53</v>
      </c>
      <c r="M23" t="s">
        <v>54</v>
      </c>
      <c r="N23" t="s">
        <v>55</v>
      </c>
      <c r="O23" t="s">
        <v>56</v>
      </c>
      <c r="P23" t="s">
        <v>56</v>
      </c>
      <c r="Q23" t="s">
        <v>51</v>
      </c>
      <c r="R23" t="s">
        <v>51</v>
      </c>
      <c r="S23" t="s">
        <v>51</v>
      </c>
      <c r="T23" t="s">
        <v>51</v>
      </c>
    </row>
    <row r="24" spans="1:20">
      <c r="A24" t="s">
        <v>98</v>
      </c>
      <c r="B24" t="s">
        <v>99</v>
      </c>
      <c r="C24" t="s">
        <v>49</v>
      </c>
      <c r="D24" t="s">
        <v>50</v>
      </c>
      <c r="E24" t="s">
        <v>51</v>
      </c>
      <c r="F24" t="s">
        <v>51</v>
      </c>
      <c r="G24" t="s">
        <v>52</v>
      </c>
      <c r="H24" t="s">
        <v>52</v>
      </c>
      <c r="I24" t="s">
        <v>52</v>
      </c>
      <c r="J24" t="s">
        <v>52</v>
      </c>
      <c r="K24" t="s">
        <v>52</v>
      </c>
      <c r="L24" t="s">
        <v>53</v>
      </c>
      <c r="M24" t="s">
        <v>54</v>
      </c>
      <c r="N24" t="s">
        <v>55</v>
      </c>
      <c r="O24" t="s">
        <v>56</v>
      </c>
      <c r="P24" t="s">
        <v>56</v>
      </c>
      <c r="Q24" t="s">
        <v>51</v>
      </c>
      <c r="R24" t="s">
        <v>51</v>
      </c>
      <c r="S24" t="s">
        <v>51</v>
      </c>
      <c r="T24" t="s">
        <v>51</v>
      </c>
    </row>
    <row r="25" spans="1:20">
      <c r="A25" t="s">
        <v>100</v>
      </c>
      <c r="B25" t="s">
        <v>101</v>
      </c>
      <c r="C25" t="s">
        <v>49</v>
      </c>
      <c r="D25" t="s">
        <v>50</v>
      </c>
      <c r="E25" t="s">
        <v>51</v>
      </c>
      <c r="F25" t="s">
        <v>51</v>
      </c>
      <c r="G25" t="s">
        <v>52</v>
      </c>
      <c r="H25" t="s">
        <v>52</v>
      </c>
      <c r="I25" t="s">
        <v>52</v>
      </c>
      <c r="J25" t="s">
        <v>52</v>
      </c>
      <c r="K25" t="s">
        <v>52</v>
      </c>
      <c r="L25" t="s">
        <v>53</v>
      </c>
      <c r="M25" t="s">
        <v>54</v>
      </c>
      <c r="N25" t="s">
        <v>55</v>
      </c>
      <c r="O25" t="s">
        <v>56</v>
      </c>
      <c r="P25" t="s">
        <v>56</v>
      </c>
      <c r="Q25" t="s">
        <v>51</v>
      </c>
      <c r="R25" t="s">
        <v>51</v>
      </c>
      <c r="S25" t="s">
        <v>51</v>
      </c>
      <c r="T25" t="s">
        <v>51</v>
      </c>
    </row>
    <row r="26" spans="1:20">
      <c r="A26" t="s">
        <v>102</v>
      </c>
      <c r="B26" t="s">
        <v>103</v>
      </c>
      <c r="C26" t="s">
        <v>49</v>
      </c>
      <c r="D26" t="s">
        <v>50</v>
      </c>
      <c r="E26" t="s">
        <v>51</v>
      </c>
      <c r="F26" t="s">
        <v>51</v>
      </c>
      <c r="G26" t="s">
        <v>52</v>
      </c>
      <c r="H26" t="s">
        <v>52</v>
      </c>
      <c r="I26" t="s">
        <v>52</v>
      </c>
      <c r="J26" t="s">
        <v>52</v>
      </c>
      <c r="K26" t="s">
        <v>52</v>
      </c>
      <c r="L26" t="s">
        <v>53</v>
      </c>
      <c r="M26" t="s">
        <v>54</v>
      </c>
      <c r="N26" t="s">
        <v>55</v>
      </c>
      <c r="O26" t="s">
        <v>56</v>
      </c>
      <c r="P26" t="s">
        <v>56</v>
      </c>
      <c r="Q26" t="s">
        <v>51</v>
      </c>
      <c r="R26" t="s">
        <v>51</v>
      </c>
      <c r="S26" t="s">
        <v>51</v>
      </c>
      <c r="T26" t="s">
        <v>51</v>
      </c>
    </row>
    <row r="27" spans="1:20">
      <c r="A27" t="s">
        <v>104</v>
      </c>
      <c r="B27" t="s">
        <v>105</v>
      </c>
      <c r="C27" t="s">
        <v>49</v>
      </c>
      <c r="D27" t="s">
        <v>50</v>
      </c>
      <c r="E27" t="s">
        <v>51</v>
      </c>
      <c r="F27" t="s">
        <v>51</v>
      </c>
      <c r="G27" t="s">
        <v>52</v>
      </c>
      <c r="H27" t="s">
        <v>52</v>
      </c>
      <c r="I27" t="s">
        <v>52</v>
      </c>
      <c r="J27" t="s">
        <v>52</v>
      </c>
      <c r="K27" t="s">
        <v>52</v>
      </c>
      <c r="L27" t="s">
        <v>53</v>
      </c>
      <c r="M27" t="s">
        <v>54</v>
      </c>
      <c r="N27" t="s">
        <v>55</v>
      </c>
      <c r="O27" t="s">
        <v>56</v>
      </c>
      <c r="P27" t="s">
        <v>56</v>
      </c>
      <c r="Q27" t="s">
        <v>51</v>
      </c>
      <c r="R27" t="s">
        <v>51</v>
      </c>
      <c r="S27" t="s">
        <v>51</v>
      </c>
      <c r="T27" t="s">
        <v>51</v>
      </c>
    </row>
    <row r="28" spans="1:20">
      <c r="A28" t="s">
        <v>106</v>
      </c>
      <c r="B28" t="s">
        <v>107</v>
      </c>
      <c r="C28" t="s">
        <v>49</v>
      </c>
      <c r="D28" t="s">
        <v>50</v>
      </c>
      <c r="E28" t="s">
        <v>51</v>
      </c>
      <c r="F28" t="s">
        <v>51</v>
      </c>
      <c r="G28" t="s">
        <v>52</v>
      </c>
      <c r="H28" t="s">
        <v>52</v>
      </c>
      <c r="I28" t="s">
        <v>52</v>
      </c>
      <c r="J28" t="s">
        <v>52</v>
      </c>
      <c r="K28" t="s">
        <v>52</v>
      </c>
      <c r="L28" t="s">
        <v>53</v>
      </c>
      <c r="M28" t="s">
        <v>54</v>
      </c>
      <c r="N28" t="s">
        <v>55</v>
      </c>
      <c r="O28" t="s">
        <v>56</v>
      </c>
      <c r="P28" t="s">
        <v>56</v>
      </c>
      <c r="Q28" t="s">
        <v>51</v>
      </c>
      <c r="R28" t="s">
        <v>51</v>
      </c>
      <c r="S28" t="s">
        <v>51</v>
      </c>
      <c r="T28" t="s">
        <v>51</v>
      </c>
    </row>
    <row r="29" spans="1:20">
      <c r="A29" t="s">
        <v>108</v>
      </c>
      <c r="B29" t="s">
        <v>109</v>
      </c>
      <c r="C29" t="s">
        <v>49</v>
      </c>
      <c r="D29" t="s">
        <v>50</v>
      </c>
      <c r="E29" t="s">
        <v>51</v>
      </c>
      <c r="F29" t="s">
        <v>51</v>
      </c>
      <c r="G29" t="s">
        <v>52</v>
      </c>
      <c r="H29" t="s">
        <v>52</v>
      </c>
      <c r="I29" t="s">
        <v>52</v>
      </c>
      <c r="J29" t="s">
        <v>52</v>
      </c>
      <c r="K29" t="s">
        <v>52</v>
      </c>
      <c r="L29" t="s">
        <v>53</v>
      </c>
      <c r="M29" t="s">
        <v>54</v>
      </c>
      <c r="N29" t="s">
        <v>55</v>
      </c>
      <c r="O29" t="s">
        <v>56</v>
      </c>
      <c r="P29" t="s">
        <v>56</v>
      </c>
      <c r="Q29" t="s">
        <v>51</v>
      </c>
      <c r="R29" t="s">
        <v>51</v>
      </c>
      <c r="S29" t="s">
        <v>51</v>
      </c>
      <c r="T29" t="s">
        <v>51</v>
      </c>
    </row>
    <row r="30" spans="1:20">
      <c r="A30" t="s">
        <v>110</v>
      </c>
      <c r="B30" t="s">
        <v>111</v>
      </c>
      <c r="C30" t="s">
        <v>49</v>
      </c>
      <c r="D30" t="s">
        <v>50</v>
      </c>
      <c r="E30" t="s">
        <v>51</v>
      </c>
      <c r="F30" t="s">
        <v>51</v>
      </c>
      <c r="G30" t="s">
        <v>52</v>
      </c>
      <c r="H30" t="s">
        <v>52</v>
      </c>
      <c r="I30" t="s">
        <v>52</v>
      </c>
      <c r="J30" t="s">
        <v>52</v>
      </c>
      <c r="K30" t="s">
        <v>52</v>
      </c>
      <c r="L30" t="s">
        <v>53</v>
      </c>
      <c r="M30" t="s">
        <v>54</v>
      </c>
      <c r="N30" t="s">
        <v>55</v>
      </c>
      <c r="O30" t="s">
        <v>56</v>
      </c>
      <c r="P30" t="s">
        <v>56</v>
      </c>
      <c r="Q30" t="s">
        <v>51</v>
      </c>
      <c r="R30" t="s">
        <v>51</v>
      </c>
      <c r="S30" t="s">
        <v>51</v>
      </c>
      <c r="T30" t="s">
        <v>51</v>
      </c>
    </row>
    <row r="31" spans="1:20">
      <c r="A31" t="s">
        <v>112</v>
      </c>
      <c r="B31" t="s">
        <v>113</v>
      </c>
      <c r="C31" t="s">
        <v>49</v>
      </c>
      <c r="D31" t="s">
        <v>50</v>
      </c>
      <c r="E31" t="s">
        <v>51</v>
      </c>
      <c r="F31" t="s">
        <v>51</v>
      </c>
      <c r="G31" t="s">
        <v>52</v>
      </c>
      <c r="H31" t="s">
        <v>52</v>
      </c>
      <c r="I31" t="s">
        <v>52</v>
      </c>
      <c r="J31" t="s">
        <v>52</v>
      </c>
      <c r="K31" t="s">
        <v>52</v>
      </c>
      <c r="L31" t="s">
        <v>53</v>
      </c>
      <c r="M31" t="s">
        <v>54</v>
      </c>
      <c r="N31" t="s">
        <v>55</v>
      </c>
      <c r="O31" t="s">
        <v>56</v>
      </c>
      <c r="P31" t="s">
        <v>56</v>
      </c>
      <c r="Q31" t="s">
        <v>51</v>
      </c>
      <c r="R31" t="s">
        <v>51</v>
      </c>
      <c r="S31" t="s">
        <v>51</v>
      </c>
      <c r="T31" t="s">
        <v>51</v>
      </c>
    </row>
    <row r="32" spans="1:20">
      <c r="A32" t="s">
        <v>114</v>
      </c>
      <c r="B32" t="s">
        <v>115</v>
      </c>
      <c r="C32" t="s">
        <v>49</v>
      </c>
      <c r="D32" t="s">
        <v>50</v>
      </c>
      <c r="E32" t="s">
        <v>51</v>
      </c>
      <c r="F32" t="s">
        <v>51</v>
      </c>
      <c r="G32" t="s">
        <v>52</v>
      </c>
      <c r="H32" t="s">
        <v>52</v>
      </c>
      <c r="I32" t="s">
        <v>52</v>
      </c>
      <c r="J32" t="s">
        <v>52</v>
      </c>
      <c r="K32" t="s">
        <v>52</v>
      </c>
      <c r="L32" t="s">
        <v>53</v>
      </c>
      <c r="M32" t="s">
        <v>54</v>
      </c>
      <c r="N32" t="s">
        <v>55</v>
      </c>
      <c r="O32" t="s">
        <v>56</v>
      </c>
      <c r="P32" t="s">
        <v>56</v>
      </c>
      <c r="Q32" t="s">
        <v>51</v>
      </c>
      <c r="R32" t="s">
        <v>51</v>
      </c>
      <c r="S32" t="s">
        <v>51</v>
      </c>
      <c r="T32" t="s">
        <v>51</v>
      </c>
    </row>
    <row r="33" spans="1:20">
      <c r="A33" t="s">
        <v>116</v>
      </c>
      <c r="B33" t="s">
        <v>117</v>
      </c>
      <c r="C33" t="s">
        <v>49</v>
      </c>
      <c r="D33" t="s">
        <v>50</v>
      </c>
      <c r="E33" t="s">
        <v>51</v>
      </c>
      <c r="F33" t="s">
        <v>51</v>
      </c>
      <c r="G33" t="s">
        <v>52</v>
      </c>
      <c r="H33" t="s">
        <v>52</v>
      </c>
      <c r="I33" t="s">
        <v>52</v>
      </c>
      <c r="J33" t="s">
        <v>52</v>
      </c>
      <c r="K33" t="s">
        <v>52</v>
      </c>
      <c r="L33" t="s">
        <v>53</v>
      </c>
      <c r="M33" t="s">
        <v>54</v>
      </c>
      <c r="N33" t="s">
        <v>55</v>
      </c>
      <c r="O33" t="s">
        <v>56</v>
      </c>
      <c r="P33" t="s">
        <v>56</v>
      </c>
      <c r="Q33" t="s">
        <v>51</v>
      </c>
      <c r="R33" t="s">
        <v>51</v>
      </c>
      <c r="S33" t="s">
        <v>51</v>
      </c>
      <c r="T33" t="s">
        <v>51</v>
      </c>
    </row>
    <row r="34" spans="1:20">
      <c r="A34" t="s">
        <v>118</v>
      </c>
      <c r="B34" t="s">
        <v>119</v>
      </c>
      <c r="C34" t="s">
        <v>49</v>
      </c>
      <c r="D34" t="s">
        <v>50</v>
      </c>
      <c r="E34" t="s">
        <v>51</v>
      </c>
      <c r="F34" t="s">
        <v>51</v>
      </c>
      <c r="G34" t="s">
        <v>52</v>
      </c>
      <c r="H34" t="s">
        <v>52</v>
      </c>
      <c r="I34" t="s">
        <v>52</v>
      </c>
      <c r="J34" t="s">
        <v>52</v>
      </c>
      <c r="K34" t="s">
        <v>52</v>
      </c>
      <c r="L34" t="s">
        <v>53</v>
      </c>
      <c r="M34" t="s">
        <v>54</v>
      </c>
      <c r="N34" t="s">
        <v>55</v>
      </c>
      <c r="O34" t="s">
        <v>56</v>
      </c>
      <c r="P34" t="s">
        <v>56</v>
      </c>
      <c r="Q34" t="s">
        <v>51</v>
      </c>
      <c r="R34" t="s">
        <v>51</v>
      </c>
      <c r="S34" t="s">
        <v>51</v>
      </c>
      <c r="T34" t="s">
        <v>51</v>
      </c>
    </row>
    <row r="35" spans="1:20">
      <c r="A35" t="s">
        <v>120</v>
      </c>
      <c r="B35" t="s">
        <v>121</v>
      </c>
      <c r="C35" t="s">
        <v>49</v>
      </c>
      <c r="D35" t="s">
        <v>50</v>
      </c>
      <c r="E35" t="s">
        <v>51</v>
      </c>
      <c r="F35" t="s">
        <v>51</v>
      </c>
      <c r="G35" t="s">
        <v>52</v>
      </c>
      <c r="H35" t="s">
        <v>52</v>
      </c>
      <c r="I35" t="s">
        <v>52</v>
      </c>
      <c r="J35" t="s">
        <v>52</v>
      </c>
      <c r="K35" t="s">
        <v>52</v>
      </c>
      <c r="L35" t="s">
        <v>53</v>
      </c>
      <c r="M35" t="s">
        <v>54</v>
      </c>
      <c r="N35" t="s">
        <v>55</v>
      </c>
      <c r="O35" t="s">
        <v>56</v>
      </c>
      <c r="P35" t="s">
        <v>56</v>
      </c>
      <c r="Q35" t="s">
        <v>51</v>
      </c>
      <c r="R35" t="s">
        <v>51</v>
      </c>
      <c r="S35" t="s">
        <v>51</v>
      </c>
      <c r="T35" t="s">
        <v>51</v>
      </c>
    </row>
    <row r="36" spans="1:20">
      <c r="A36" t="s">
        <v>122</v>
      </c>
      <c r="B36" t="s">
        <v>123</v>
      </c>
      <c r="C36" t="s">
        <v>49</v>
      </c>
      <c r="D36" t="s">
        <v>50</v>
      </c>
      <c r="E36" t="s">
        <v>51</v>
      </c>
      <c r="F36" t="s">
        <v>51</v>
      </c>
      <c r="G36" t="s">
        <v>52</v>
      </c>
      <c r="H36" t="s">
        <v>52</v>
      </c>
      <c r="I36" t="s">
        <v>52</v>
      </c>
      <c r="J36" t="s">
        <v>52</v>
      </c>
      <c r="K36" t="s">
        <v>52</v>
      </c>
      <c r="L36" t="s">
        <v>53</v>
      </c>
      <c r="M36" t="s">
        <v>54</v>
      </c>
      <c r="N36" t="s">
        <v>55</v>
      </c>
      <c r="O36" t="s">
        <v>56</v>
      </c>
      <c r="P36" t="s">
        <v>56</v>
      </c>
      <c r="Q36" t="s">
        <v>51</v>
      </c>
      <c r="R36" t="s">
        <v>51</v>
      </c>
      <c r="S36" t="s">
        <v>51</v>
      </c>
      <c r="T36" t="s">
        <v>51</v>
      </c>
    </row>
    <row r="37" spans="1:20">
      <c r="A37" t="s">
        <v>124</v>
      </c>
      <c r="B37" t="s">
        <v>125</v>
      </c>
      <c r="C37" t="s">
        <v>49</v>
      </c>
      <c r="D37" t="s">
        <v>50</v>
      </c>
      <c r="E37" t="s">
        <v>51</v>
      </c>
      <c r="F37" t="s">
        <v>51</v>
      </c>
      <c r="G37" t="s">
        <v>52</v>
      </c>
      <c r="H37" t="s">
        <v>52</v>
      </c>
      <c r="I37" t="s">
        <v>52</v>
      </c>
      <c r="J37" t="s">
        <v>52</v>
      </c>
      <c r="K37" t="s">
        <v>52</v>
      </c>
      <c r="L37" t="s">
        <v>53</v>
      </c>
      <c r="M37" t="s">
        <v>54</v>
      </c>
      <c r="N37" t="s">
        <v>55</v>
      </c>
      <c r="O37" t="s">
        <v>56</v>
      </c>
      <c r="P37" t="s">
        <v>56</v>
      </c>
      <c r="Q37" t="s">
        <v>51</v>
      </c>
      <c r="R37" t="s">
        <v>51</v>
      </c>
      <c r="S37" t="s">
        <v>51</v>
      </c>
      <c r="T37" t="s">
        <v>51</v>
      </c>
    </row>
    <row r="38" spans="1:20">
      <c r="A38" t="s">
        <v>126</v>
      </c>
      <c r="B38" t="s">
        <v>127</v>
      </c>
      <c r="C38" t="s">
        <v>49</v>
      </c>
      <c r="D38" t="s">
        <v>50</v>
      </c>
      <c r="E38" t="s">
        <v>51</v>
      </c>
      <c r="F38" t="s">
        <v>51</v>
      </c>
      <c r="G38" t="s">
        <v>52</v>
      </c>
      <c r="H38" t="s">
        <v>52</v>
      </c>
      <c r="I38" t="s">
        <v>52</v>
      </c>
      <c r="J38" t="s">
        <v>52</v>
      </c>
      <c r="K38" t="s">
        <v>52</v>
      </c>
      <c r="L38" t="s">
        <v>53</v>
      </c>
      <c r="M38" t="s">
        <v>54</v>
      </c>
      <c r="N38" t="s">
        <v>55</v>
      </c>
      <c r="O38" t="s">
        <v>56</v>
      </c>
      <c r="P38" t="s">
        <v>56</v>
      </c>
      <c r="Q38" t="s">
        <v>51</v>
      </c>
      <c r="R38" t="s">
        <v>51</v>
      </c>
      <c r="S38" t="s">
        <v>51</v>
      </c>
      <c r="T38" t="s">
        <v>51</v>
      </c>
    </row>
    <row r="39" spans="1:20">
      <c r="A39" t="s">
        <v>128</v>
      </c>
      <c r="B39" t="s">
        <v>129</v>
      </c>
      <c r="C39" t="s">
        <v>49</v>
      </c>
      <c r="D39" t="s">
        <v>50</v>
      </c>
      <c r="E39" t="s">
        <v>51</v>
      </c>
      <c r="F39" t="s">
        <v>51</v>
      </c>
      <c r="G39" t="s">
        <v>52</v>
      </c>
      <c r="H39" t="s">
        <v>52</v>
      </c>
      <c r="I39" t="s">
        <v>52</v>
      </c>
      <c r="J39" t="s">
        <v>52</v>
      </c>
      <c r="K39" t="s">
        <v>52</v>
      </c>
      <c r="L39" t="s">
        <v>53</v>
      </c>
      <c r="M39" t="s">
        <v>54</v>
      </c>
      <c r="N39" t="s">
        <v>55</v>
      </c>
      <c r="O39" t="s">
        <v>56</v>
      </c>
      <c r="P39" t="s">
        <v>56</v>
      </c>
      <c r="Q39" t="s">
        <v>51</v>
      </c>
      <c r="R39" t="s">
        <v>51</v>
      </c>
      <c r="S39" t="s">
        <v>51</v>
      </c>
      <c r="T39" t="s">
        <v>51</v>
      </c>
    </row>
    <row r="40" spans="1:20">
      <c r="A40" t="s">
        <v>130</v>
      </c>
      <c r="B40" t="s">
        <v>131</v>
      </c>
      <c r="C40" t="s">
        <v>49</v>
      </c>
      <c r="D40" t="s">
        <v>50</v>
      </c>
      <c r="E40" t="s">
        <v>51</v>
      </c>
      <c r="F40" t="s">
        <v>51</v>
      </c>
      <c r="G40" t="s">
        <v>52</v>
      </c>
      <c r="H40" t="s">
        <v>52</v>
      </c>
      <c r="I40" t="s">
        <v>52</v>
      </c>
      <c r="J40" t="s">
        <v>52</v>
      </c>
      <c r="K40" t="s">
        <v>52</v>
      </c>
      <c r="L40" t="s">
        <v>53</v>
      </c>
      <c r="M40" t="s">
        <v>54</v>
      </c>
      <c r="N40" t="s">
        <v>55</v>
      </c>
      <c r="O40" t="s">
        <v>56</v>
      </c>
      <c r="P40" t="s">
        <v>56</v>
      </c>
      <c r="Q40" t="s">
        <v>51</v>
      </c>
      <c r="R40" t="s">
        <v>51</v>
      </c>
      <c r="S40" t="s">
        <v>51</v>
      </c>
      <c r="T40" t="s">
        <v>51</v>
      </c>
    </row>
    <row r="41" spans="1:20">
      <c r="A41" t="s">
        <v>132</v>
      </c>
      <c r="B41" t="s">
        <v>133</v>
      </c>
      <c r="C41" t="s">
        <v>49</v>
      </c>
      <c r="D41" t="s">
        <v>50</v>
      </c>
      <c r="E41" t="s">
        <v>51</v>
      </c>
      <c r="F41" t="s">
        <v>51</v>
      </c>
      <c r="G41" t="s">
        <v>52</v>
      </c>
      <c r="H41" t="s">
        <v>52</v>
      </c>
      <c r="I41" t="s">
        <v>52</v>
      </c>
      <c r="J41" t="s">
        <v>52</v>
      </c>
      <c r="K41" t="s">
        <v>52</v>
      </c>
      <c r="L41" t="s">
        <v>53</v>
      </c>
      <c r="M41" t="s">
        <v>54</v>
      </c>
      <c r="N41" t="s">
        <v>55</v>
      </c>
      <c r="O41" t="s">
        <v>56</v>
      </c>
      <c r="P41" t="s">
        <v>56</v>
      </c>
      <c r="Q41" t="s">
        <v>51</v>
      </c>
      <c r="R41" t="s">
        <v>51</v>
      </c>
      <c r="S41" t="s">
        <v>51</v>
      </c>
      <c r="T41" t="s">
        <v>51</v>
      </c>
    </row>
    <row r="42" spans="1:20">
      <c r="A42" t="s">
        <v>134</v>
      </c>
      <c r="B42" t="s">
        <v>135</v>
      </c>
      <c r="C42" t="s">
        <v>49</v>
      </c>
      <c r="D42" t="s">
        <v>50</v>
      </c>
      <c r="E42" t="s">
        <v>51</v>
      </c>
      <c r="F42" t="s">
        <v>51</v>
      </c>
      <c r="G42" t="s">
        <v>52</v>
      </c>
      <c r="H42" t="s">
        <v>52</v>
      </c>
      <c r="I42" t="s">
        <v>52</v>
      </c>
      <c r="J42" t="s">
        <v>52</v>
      </c>
      <c r="K42" t="s">
        <v>52</v>
      </c>
      <c r="L42" t="s">
        <v>53</v>
      </c>
      <c r="M42" t="s">
        <v>54</v>
      </c>
      <c r="N42" t="s">
        <v>55</v>
      </c>
      <c r="O42" t="s">
        <v>56</v>
      </c>
      <c r="P42" t="s">
        <v>56</v>
      </c>
      <c r="Q42" t="s">
        <v>51</v>
      </c>
      <c r="R42" t="s">
        <v>51</v>
      </c>
      <c r="S42" t="s">
        <v>51</v>
      </c>
      <c r="T42" t="s">
        <v>51</v>
      </c>
    </row>
    <row r="43" spans="1:20">
      <c r="A43" t="s">
        <v>136</v>
      </c>
      <c r="B43" t="s">
        <v>137</v>
      </c>
      <c r="C43" t="s">
        <v>49</v>
      </c>
      <c r="D43" t="s">
        <v>50</v>
      </c>
      <c r="E43" t="s">
        <v>51</v>
      </c>
      <c r="F43" t="s">
        <v>51</v>
      </c>
      <c r="G43" t="s">
        <v>52</v>
      </c>
      <c r="H43" t="s">
        <v>52</v>
      </c>
      <c r="I43" t="s">
        <v>52</v>
      </c>
      <c r="J43" t="s">
        <v>52</v>
      </c>
      <c r="K43" t="s">
        <v>52</v>
      </c>
      <c r="L43" t="s">
        <v>53</v>
      </c>
      <c r="M43" t="s">
        <v>54</v>
      </c>
      <c r="N43" t="s">
        <v>55</v>
      </c>
      <c r="O43" t="s">
        <v>56</v>
      </c>
      <c r="P43" t="s">
        <v>56</v>
      </c>
      <c r="Q43" t="s">
        <v>51</v>
      </c>
      <c r="R43" t="s">
        <v>51</v>
      </c>
      <c r="S43" t="s">
        <v>51</v>
      </c>
      <c r="T43" t="s">
        <v>51</v>
      </c>
    </row>
    <row r="44" spans="1:20">
      <c r="A44" t="s">
        <v>138</v>
      </c>
      <c r="B44" t="s">
        <v>139</v>
      </c>
      <c r="C44" t="s">
        <v>49</v>
      </c>
      <c r="D44" t="s">
        <v>50</v>
      </c>
      <c r="E44" t="s">
        <v>51</v>
      </c>
      <c r="F44" t="s">
        <v>51</v>
      </c>
      <c r="G44" t="s">
        <v>52</v>
      </c>
      <c r="H44" t="s">
        <v>52</v>
      </c>
      <c r="I44" t="s">
        <v>52</v>
      </c>
      <c r="J44" t="s">
        <v>52</v>
      </c>
      <c r="K44" t="s">
        <v>52</v>
      </c>
      <c r="L44" t="s">
        <v>53</v>
      </c>
      <c r="M44" t="s">
        <v>54</v>
      </c>
      <c r="N44" t="s">
        <v>55</v>
      </c>
      <c r="O44" t="s">
        <v>56</v>
      </c>
      <c r="P44" t="s">
        <v>56</v>
      </c>
      <c r="Q44" t="s">
        <v>51</v>
      </c>
      <c r="R44" t="s">
        <v>51</v>
      </c>
      <c r="S44" t="s">
        <v>51</v>
      </c>
      <c r="T44" t="s">
        <v>51</v>
      </c>
    </row>
    <row r="45" spans="1:20">
      <c r="A45" t="s">
        <v>140</v>
      </c>
      <c r="B45" t="s">
        <v>141</v>
      </c>
      <c r="C45" t="s">
        <v>49</v>
      </c>
      <c r="D45" t="s">
        <v>50</v>
      </c>
      <c r="E45" t="s">
        <v>51</v>
      </c>
      <c r="F45" t="s">
        <v>51</v>
      </c>
      <c r="G45" t="s">
        <v>52</v>
      </c>
      <c r="H45" t="s">
        <v>52</v>
      </c>
      <c r="I45" t="s">
        <v>52</v>
      </c>
      <c r="J45" t="s">
        <v>52</v>
      </c>
      <c r="K45" t="s">
        <v>52</v>
      </c>
      <c r="L45" t="s">
        <v>53</v>
      </c>
      <c r="M45" t="s">
        <v>54</v>
      </c>
      <c r="N45" t="s">
        <v>55</v>
      </c>
      <c r="O45" t="s">
        <v>56</v>
      </c>
      <c r="P45" t="s">
        <v>56</v>
      </c>
      <c r="Q45" t="s">
        <v>51</v>
      </c>
      <c r="R45" t="s">
        <v>51</v>
      </c>
      <c r="S45" t="s">
        <v>51</v>
      </c>
      <c r="T45" t="s">
        <v>51</v>
      </c>
    </row>
    <row r="46" spans="1:20">
      <c r="A46" t="s">
        <v>142</v>
      </c>
      <c r="B46" t="s">
        <v>143</v>
      </c>
      <c r="C46" t="s">
        <v>49</v>
      </c>
      <c r="D46" t="s">
        <v>50</v>
      </c>
      <c r="E46" t="s">
        <v>51</v>
      </c>
      <c r="F46" t="s">
        <v>51</v>
      </c>
      <c r="G46" t="s">
        <v>52</v>
      </c>
      <c r="H46" t="s">
        <v>52</v>
      </c>
      <c r="I46" t="s">
        <v>52</v>
      </c>
      <c r="J46" t="s">
        <v>52</v>
      </c>
      <c r="K46" t="s">
        <v>52</v>
      </c>
      <c r="L46" t="s">
        <v>53</v>
      </c>
      <c r="M46" t="s">
        <v>54</v>
      </c>
      <c r="N46" t="s">
        <v>55</v>
      </c>
      <c r="O46" t="s">
        <v>56</v>
      </c>
      <c r="P46" t="s">
        <v>56</v>
      </c>
      <c r="Q46" t="s">
        <v>51</v>
      </c>
      <c r="R46" t="s">
        <v>51</v>
      </c>
      <c r="S46" t="s">
        <v>51</v>
      </c>
      <c r="T46" t="s">
        <v>51</v>
      </c>
    </row>
    <row r="47" spans="1:20">
      <c r="A47" t="s">
        <v>144</v>
      </c>
      <c r="B47" t="s">
        <v>145</v>
      </c>
      <c r="C47" t="s">
        <v>49</v>
      </c>
      <c r="D47" t="s">
        <v>50</v>
      </c>
      <c r="E47" t="s">
        <v>51</v>
      </c>
      <c r="F47" t="s">
        <v>51</v>
      </c>
      <c r="G47" t="s">
        <v>52</v>
      </c>
      <c r="H47" t="s">
        <v>52</v>
      </c>
      <c r="I47" t="s">
        <v>52</v>
      </c>
      <c r="J47" t="s">
        <v>52</v>
      </c>
      <c r="K47" t="s">
        <v>52</v>
      </c>
      <c r="L47" t="s">
        <v>53</v>
      </c>
      <c r="M47" t="s">
        <v>54</v>
      </c>
      <c r="N47" t="s">
        <v>55</v>
      </c>
      <c r="O47" t="s">
        <v>56</v>
      </c>
      <c r="P47" t="s">
        <v>56</v>
      </c>
      <c r="Q47" t="s">
        <v>51</v>
      </c>
      <c r="R47" t="s">
        <v>51</v>
      </c>
      <c r="S47" t="s">
        <v>51</v>
      </c>
      <c r="T47" t="s">
        <v>51</v>
      </c>
    </row>
    <row r="48" spans="1:20">
      <c r="A48" t="s">
        <v>146</v>
      </c>
      <c r="B48" t="s">
        <v>147</v>
      </c>
      <c r="C48" t="s">
        <v>49</v>
      </c>
      <c r="D48" t="s">
        <v>50</v>
      </c>
      <c r="E48" t="s">
        <v>51</v>
      </c>
      <c r="F48" t="s">
        <v>51</v>
      </c>
      <c r="G48" t="s">
        <v>52</v>
      </c>
      <c r="H48" t="s">
        <v>52</v>
      </c>
      <c r="I48" t="s">
        <v>52</v>
      </c>
      <c r="J48" t="s">
        <v>52</v>
      </c>
      <c r="K48" t="s">
        <v>52</v>
      </c>
      <c r="L48" t="s">
        <v>53</v>
      </c>
      <c r="M48" t="s">
        <v>54</v>
      </c>
      <c r="N48" t="s">
        <v>55</v>
      </c>
      <c r="O48" t="s">
        <v>56</v>
      </c>
      <c r="P48" t="s">
        <v>56</v>
      </c>
      <c r="Q48" t="s">
        <v>51</v>
      </c>
      <c r="R48" t="s">
        <v>51</v>
      </c>
      <c r="S48" t="s">
        <v>51</v>
      </c>
      <c r="T48" t="s">
        <v>51</v>
      </c>
    </row>
    <row r="49" spans="1:20">
      <c r="A49" t="s">
        <v>148</v>
      </c>
      <c r="B49" t="s">
        <v>149</v>
      </c>
      <c r="C49" t="s">
        <v>49</v>
      </c>
      <c r="D49" t="s">
        <v>50</v>
      </c>
      <c r="E49" t="s">
        <v>51</v>
      </c>
      <c r="F49" t="s">
        <v>51</v>
      </c>
      <c r="G49" t="s">
        <v>52</v>
      </c>
      <c r="H49" t="s">
        <v>52</v>
      </c>
      <c r="I49" t="s">
        <v>52</v>
      </c>
      <c r="J49" t="s">
        <v>52</v>
      </c>
      <c r="K49" t="s">
        <v>52</v>
      </c>
      <c r="L49" t="s">
        <v>53</v>
      </c>
      <c r="M49" t="s">
        <v>54</v>
      </c>
      <c r="N49" t="s">
        <v>55</v>
      </c>
      <c r="O49" t="s">
        <v>56</v>
      </c>
      <c r="P49" t="s">
        <v>56</v>
      </c>
      <c r="Q49" t="s">
        <v>51</v>
      </c>
      <c r="R49" t="s">
        <v>51</v>
      </c>
      <c r="S49" t="s">
        <v>51</v>
      </c>
      <c r="T49" t="s">
        <v>51</v>
      </c>
    </row>
    <row r="50" spans="1:20">
      <c r="A50" t="s">
        <v>150</v>
      </c>
      <c r="B50" t="s">
        <v>151</v>
      </c>
      <c r="C50" t="s">
        <v>49</v>
      </c>
      <c r="D50" t="s">
        <v>50</v>
      </c>
      <c r="E50" t="s">
        <v>51</v>
      </c>
      <c r="F50" t="s">
        <v>51</v>
      </c>
      <c r="G50" t="s">
        <v>52</v>
      </c>
      <c r="H50" t="s">
        <v>52</v>
      </c>
      <c r="I50" t="s">
        <v>52</v>
      </c>
      <c r="J50" t="s">
        <v>52</v>
      </c>
      <c r="K50" t="s">
        <v>52</v>
      </c>
      <c r="L50" t="s">
        <v>53</v>
      </c>
      <c r="M50" t="s">
        <v>54</v>
      </c>
      <c r="N50" t="s">
        <v>55</v>
      </c>
      <c r="O50" t="s">
        <v>56</v>
      </c>
      <c r="P50" t="s">
        <v>56</v>
      </c>
      <c r="Q50" t="s">
        <v>51</v>
      </c>
      <c r="R50" t="s">
        <v>51</v>
      </c>
      <c r="S50" t="s">
        <v>51</v>
      </c>
      <c r="T50" t="s">
        <v>51</v>
      </c>
    </row>
    <row r="51" spans="1:20">
      <c r="A51" t="s">
        <v>152</v>
      </c>
      <c r="B51" t="s">
        <v>153</v>
      </c>
      <c r="C51" t="s">
        <v>49</v>
      </c>
      <c r="D51" t="s">
        <v>50</v>
      </c>
      <c r="E51" t="s">
        <v>51</v>
      </c>
      <c r="F51" t="s">
        <v>51</v>
      </c>
      <c r="G51" t="s">
        <v>52</v>
      </c>
      <c r="H51" t="s">
        <v>52</v>
      </c>
      <c r="I51" t="s">
        <v>52</v>
      </c>
      <c r="J51" t="s">
        <v>52</v>
      </c>
      <c r="K51" t="s">
        <v>52</v>
      </c>
      <c r="L51" t="s">
        <v>53</v>
      </c>
      <c r="M51" t="s">
        <v>54</v>
      </c>
      <c r="N51" t="s">
        <v>55</v>
      </c>
      <c r="O51" t="s">
        <v>56</v>
      </c>
      <c r="P51" t="s">
        <v>56</v>
      </c>
      <c r="Q51" t="s">
        <v>51</v>
      </c>
      <c r="R51" t="s">
        <v>51</v>
      </c>
      <c r="S51" t="s">
        <v>51</v>
      </c>
      <c r="T51" t="s">
        <v>51</v>
      </c>
    </row>
    <row r="52" spans="1:20">
      <c r="A52" t="s">
        <v>174</v>
      </c>
      <c r="B52" t="s">
        <v>48</v>
      </c>
      <c r="C52" t="s">
        <v>49</v>
      </c>
      <c r="D52" t="s">
        <v>50</v>
      </c>
      <c r="E52" t="s">
        <v>51</v>
      </c>
      <c r="F52" t="s">
        <v>51</v>
      </c>
      <c r="G52" t="s">
        <v>52</v>
      </c>
      <c r="H52" t="s">
        <v>52</v>
      </c>
      <c r="I52" t="s">
        <v>52</v>
      </c>
      <c r="J52" t="s">
        <v>52</v>
      </c>
      <c r="K52" t="s">
        <v>52</v>
      </c>
      <c r="L52" t="s">
        <v>175</v>
      </c>
      <c r="M52" t="s">
        <v>176</v>
      </c>
      <c r="N52" t="s">
        <v>55</v>
      </c>
      <c r="O52" t="s">
        <v>83</v>
      </c>
      <c r="P52" t="s">
        <v>83</v>
      </c>
      <c r="Q52" t="s">
        <v>51</v>
      </c>
      <c r="R52" t="s">
        <v>51</v>
      </c>
      <c r="S52" t="s">
        <v>51</v>
      </c>
      <c r="T52" t="s">
        <v>51</v>
      </c>
    </row>
    <row r="53" spans="1:20">
      <c r="A53" t="s">
        <v>177</v>
      </c>
      <c r="B53" t="s">
        <v>58</v>
      </c>
      <c r="C53" t="s">
        <v>49</v>
      </c>
      <c r="D53" t="s">
        <v>50</v>
      </c>
      <c r="E53" t="s">
        <v>51</v>
      </c>
      <c r="F53" t="s">
        <v>51</v>
      </c>
      <c r="G53" t="s">
        <v>52</v>
      </c>
      <c r="H53" t="s">
        <v>52</v>
      </c>
      <c r="I53" t="s">
        <v>52</v>
      </c>
      <c r="J53" t="s">
        <v>52</v>
      </c>
      <c r="K53" t="s">
        <v>52</v>
      </c>
      <c r="L53" t="s">
        <v>175</v>
      </c>
      <c r="M53" t="s">
        <v>176</v>
      </c>
      <c r="N53" t="s">
        <v>55</v>
      </c>
      <c r="O53" t="s">
        <v>83</v>
      </c>
      <c r="P53" t="s">
        <v>83</v>
      </c>
      <c r="Q53" t="s">
        <v>51</v>
      </c>
      <c r="R53" t="s">
        <v>51</v>
      </c>
      <c r="S53" t="s">
        <v>51</v>
      </c>
      <c r="T53" t="s">
        <v>51</v>
      </c>
    </row>
    <row r="54" spans="1:20">
      <c r="A54" t="s">
        <v>178</v>
      </c>
      <c r="B54" t="s">
        <v>60</v>
      </c>
      <c r="C54" t="s">
        <v>49</v>
      </c>
      <c r="D54" t="s">
        <v>50</v>
      </c>
      <c r="E54" t="s">
        <v>51</v>
      </c>
      <c r="F54" t="s">
        <v>51</v>
      </c>
      <c r="G54" t="s">
        <v>52</v>
      </c>
      <c r="H54" t="s">
        <v>52</v>
      </c>
      <c r="I54" t="s">
        <v>52</v>
      </c>
      <c r="J54" t="s">
        <v>52</v>
      </c>
      <c r="K54" t="s">
        <v>52</v>
      </c>
      <c r="L54" t="s">
        <v>175</v>
      </c>
      <c r="M54" t="s">
        <v>176</v>
      </c>
      <c r="N54" t="s">
        <v>55</v>
      </c>
      <c r="O54" t="s">
        <v>83</v>
      </c>
      <c r="P54" t="s">
        <v>83</v>
      </c>
      <c r="Q54" t="s">
        <v>51</v>
      </c>
      <c r="R54" t="s">
        <v>51</v>
      </c>
      <c r="S54" t="s">
        <v>51</v>
      </c>
      <c r="T54" t="s">
        <v>51</v>
      </c>
    </row>
    <row r="55" spans="1:20">
      <c r="A55" t="s">
        <v>179</v>
      </c>
      <c r="B55" t="s">
        <v>62</v>
      </c>
      <c r="C55" t="s">
        <v>49</v>
      </c>
      <c r="D55" t="s">
        <v>50</v>
      </c>
      <c r="E55" t="s">
        <v>51</v>
      </c>
      <c r="F55" t="s">
        <v>51</v>
      </c>
      <c r="G55" t="s">
        <v>52</v>
      </c>
      <c r="H55" t="s">
        <v>52</v>
      </c>
      <c r="I55" t="s">
        <v>52</v>
      </c>
      <c r="J55" t="s">
        <v>52</v>
      </c>
      <c r="K55" t="s">
        <v>52</v>
      </c>
      <c r="L55" t="s">
        <v>175</v>
      </c>
      <c r="M55" t="s">
        <v>176</v>
      </c>
      <c r="N55" t="s">
        <v>55</v>
      </c>
      <c r="O55" t="s">
        <v>83</v>
      </c>
      <c r="P55" t="s">
        <v>83</v>
      </c>
      <c r="Q55" t="s">
        <v>51</v>
      </c>
      <c r="R55" t="s">
        <v>51</v>
      </c>
      <c r="S55" t="s">
        <v>51</v>
      </c>
      <c r="T55" t="s">
        <v>51</v>
      </c>
    </row>
    <row r="56" spans="1:20">
      <c r="A56" t="s">
        <v>180</v>
      </c>
      <c r="B56" t="s">
        <v>56</v>
      </c>
      <c r="C56" t="s">
        <v>49</v>
      </c>
      <c r="D56" t="s">
        <v>50</v>
      </c>
      <c r="E56" t="s">
        <v>51</v>
      </c>
      <c r="F56" t="s">
        <v>51</v>
      </c>
      <c r="G56" t="s">
        <v>52</v>
      </c>
      <c r="H56" t="s">
        <v>52</v>
      </c>
      <c r="I56" t="s">
        <v>52</v>
      </c>
      <c r="J56" t="s">
        <v>52</v>
      </c>
      <c r="K56" t="s">
        <v>52</v>
      </c>
      <c r="L56" t="s">
        <v>175</v>
      </c>
      <c r="M56" t="s">
        <v>176</v>
      </c>
      <c r="N56" t="s">
        <v>55</v>
      </c>
      <c r="O56" t="s">
        <v>83</v>
      </c>
      <c r="P56" t="s">
        <v>83</v>
      </c>
      <c r="Q56" t="s">
        <v>51</v>
      </c>
      <c r="R56" t="s">
        <v>51</v>
      </c>
      <c r="S56" t="s">
        <v>51</v>
      </c>
      <c r="T56" t="s">
        <v>51</v>
      </c>
    </row>
    <row r="57" spans="1:20">
      <c r="A57" t="s">
        <v>181</v>
      </c>
      <c r="B57" t="s">
        <v>65</v>
      </c>
      <c r="C57" t="s">
        <v>49</v>
      </c>
      <c r="D57" t="s">
        <v>50</v>
      </c>
      <c r="E57" t="s">
        <v>51</v>
      </c>
      <c r="F57" t="s">
        <v>51</v>
      </c>
      <c r="G57" t="s">
        <v>52</v>
      </c>
      <c r="H57" t="s">
        <v>52</v>
      </c>
      <c r="I57" t="s">
        <v>52</v>
      </c>
      <c r="J57" t="s">
        <v>52</v>
      </c>
      <c r="K57" t="s">
        <v>52</v>
      </c>
      <c r="L57" t="s">
        <v>175</v>
      </c>
      <c r="M57" t="s">
        <v>176</v>
      </c>
      <c r="N57" t="s">
        <v>55</v>
      </c>
      <c r="O57" s="209" t="s">
        <v>83</v>
      </c>
      <c r="P57" s="209" t="s">
        <v>83</v>
      </c>
      <c r="Q57" t="s">
        <v>51</v>
      </c>
      <c r="R57" t="s">
        <v>51</v>
      </c>
      <c r="S57" t="s">
        <v>51</v>
      </c>
      <c r="T57" t="s">
        <v>51</v>
      </c>
    </row>
    <row r="58" spans="1:20">
      <c r="A58" t="s">
        <v>182</v>
      </c>
      <c r="B58" t="s">
        <v>67</v>
      </c>
      <c r="C58" t="s">
        <v>49</v>
      </c>
      <c r="D58" t="s">
        <v>50</v>
      </c>
      <c r="E58" t="s">
        <v>51</v>
      </c>
      <c r="F58" t="s">
        <v>51</v>
      </c>
      <c r="G58" t="s">
        <v>52</v>
      </c>
      <c r="H58" t="s">
        <v>52</v>
      </c>
      <c r="I58" t="s">
        <v>52</v>
      </c>
      <c r="J58" t="s">
        <v>52</v>
      </c>
      <c r="K58" t="s">
        <v>52</v>
      </c>
      <c r="L58" t="s">
        <v>175</v>
      </c>
      <c r="M58" t="s">
        <v>176</v>
      </c>
      <c r="N58" t="s">
        <v>55</v>
      </c>
      <c r="O58" s="209" t="s">
        <v>83</v>
      </c>
      <c r="P58" s="209" t="s">
        <v>83</v>
      </c>
      <c r="Q58" t="s">
        <v>51</v>
      </c>
      <c r="R58" t="s">
        <v>51</v>
      </c>
      <c r="S58" t="s">
        <v>51</v>
      </c>
      <c r="T58" t="s">
        <v>51</v>
      </c>
    </row>
    <row r="59" spans="1:20">
      <c r="A59" t="s">
        <v>183</v>
      </c>
      <c r="B59" t="s">
        <v>69</v>
      </c>
      <c r="C59" t="s">
        <v>49</v>
      </c>
      <c r="D59" t="s">
        <v>50</v>
      </c>
      <c r="E59" t="s">
        <v>51</v>
      </c>
      <c r="F59" t="s">
        <v>51</v>
      </c>
      <c r="G59" t="s">
        <v>52</v>
      </c>
      <c r="H59" t="s">
        <v>52</v>
      </c>
      <c r="I59" t="s">
        <v>52</v>
      </c>
      <c r="J59" t="s">
        <v>52</v>
      </c>
      <c r="K59" t="s">
        <v>52</v>
      </c>
      <c r="L59" t="s">
        <v>175</v>
      </c>
      <c r="M59" t="s">
        <v>176</v>
      </c>
      <c r="N59" t="s">
        <v>55</v>
      </c>
      <c r="O59" s="209" t="s">
        <v>83</v>
      </c>
      <c r="P59" s="209" t="s">
        <v>83</v>
      </c>
      <c r="Q59" t="s">
        <v>51</v>
      </c>
      <c r="R59" t="s">
        <v>51</v>
      </c>
      <c r="S59" t="s">
        <v>51</v>
      </c>
      <c r="T59" t="s">
        <v>51</v>
      </c>
    </row>
    <row r="60" spans="1:20">
      <c r="A60" t="s">
        <v>184</v>
      </c>
      <c r="B60" t="s">
        <v>71</v>
      </c>
      <c r="C60" t="s">
        <v>49</v>
      </c>
      <c r="D60" t="s">
        <v>50</v>
      </c>
      <c r="E60" t="s">
        <v>51</v>
      </c>
      <c r="F60" t="s">
        <v>51</v>
      </c>
      <c r="G60" t="s">
        <v>52</v>
      </c>
      <c r="H60" t="s">
        <v>52</v>
      </c>
      <c r="I60" t="s">
        <v>52</v>
      </c>
      <c r="J60" t="s">
        <v>52</v>
      </c>
      <c r="K60" t="s">
        <v>52</v>
      </c>
      <c r="L60" t="s">
        <v>175</v>
      </c>
      <c r="M60" t="s">
        <v>176</v>
      </c>
      <c r="N60" t="s">
        <v>55</v>
      </c>
      <c r="O60" s="209" t="s">
        <v>83</v>
      </c>
      <c r="P60" s="209" t="s">
        <v>83</v>
      </c>
      <c r="Q60" t="s">
        <v>51</v>
      </c>
      <c r="R60" t="s">
        <v>51</v>
      </c>
      <c r="S60" t="s">
        <v>51</v>
      </c>
      <c r="T60" t="s">
        <v>51</v>
      </c>
    </row>
    <row r="61" spans="1:20">
      <c r="A61" t="s">
        <v>185</v>
      </c>
      <c r="B61" t="s">
        <v>73</v>
      </c>
      <c r="C61" t="s">
        <v>49</v>
      </c>
      <c r="D61" t="s">
        <v>50</v>
      </c>
      <c r="E61" t="s">
        <v>51</v>
      </c>
      <c r="F61" t="s">
        <v>51</v>
      </c>
      <c r="G61" t="s">
        <v>52</v>
      </c>
      <c r="H61" t="s">
        <v>52</v>
      </c>
      <c r="I61" t="s">
        <v>52</v>
      </c>
      <c r="J61" t="s">
        <v>52</v>
      </c>
      <c r="K61" t="s">
        <v>52</v>
      </c>
      <c r="L61" t="s">
        <v>175</v>
      </c>
      <c r="M61" t="s">
        <v>176</v>
      </c>
      <c r="N61" t="s">
        <v>55</v>
      </c>
      <c r="O61" s="209" t="s">
        <v>83</v>
      </c>
      <c r="P61" s="209" t="s">
        <v>83</v>
      </c>
      <c r="Q61" t="s">
        <v>51</v>
      </c>
      <c r="R61" t="s">
        <v>51</v>
      </c>
      <c r="S61" t="s">
        <v>51</v>
      </c>
      <c r="T61" t="s">
        <v>51</v>
      </c>
    </row>
    <row r="62" spans="1:20">
      <c r="A62" t="s">
        <v>160</v>
      </c>
      <c r="B62" t="s">
        <v>48</v>
      </c>
      <c r="C62" t="s">
        <v>49</v>
      </c>
      <c r="D62" t="s">
        <v>50</v>
      </c>
      <c r="E62" t="s">
        <v>51</v>
      </c>
      <c r="F62" t="s">
        <v>51</v>
      </c>
      <c r="G62" t="s">
        <v>52</v>
      </c>
      <c r="H62" t="s">
        <v>52</v>
      </c>
      <c r="I62" t="s">
        <v>52</v>
      </c>
      <c r="J62" t="s">
        <v>52</v>
      </c>
      <c r="K62" t="s">
        <v>52</v>
      </c>
      <c r="L62" t="s">
        <v>172</v>
      </c>
      <c r="M62" t="s">
        <v>173</v>
      </c>
      <c r="N62" t="s">
        <v>55</v>
      </c>
      <c r="O62" s="209" t="s">
        <v>115</v>
      </c>
      <c r="P62" s="209" t="s">
        <v>52</v>
      </c>
      <c r="Q62" t="s">
        <v>50</v>
      </c>
      <c r="R62" t="s">
        <v>51</v>
      </c>
      <c r="S62" t="s">
        <v>51</v>
      </c>
      <c r="T62" t="s">
        <v>51</v>
      </c>
    </row>
    <row r="63" spans="1:20">
      <c r="A63" t="s">
        <v>160</v>
      </c>
      <c r="B63" t="s">
        <v>48</v>
      </c>
      <c r="C63" t="s">
        <v>49</v>
      </c>
      <c r="D63" t="s">
        <v>50</v>
      </c>
      <c r="E63" t="s">
        <v>51</v>
      </c>
      <c r="F63" t="s">
        <v>51</v>
      </c>
      <c r="G63" t="s">
        <v>52</v>
      </c>
      <c r="H63" t="s">
        <v>52</v>
      </c>
      <c r="I63" t="s">
        <v>52</v>
      </c>
      <c r="J63" t="s">
        <v>52</v>
      </c>
      <c r="K63" t="s">
        <v>52</v>
      </c>
      <c r="L63" t="s">
        <v>192</v>
      </c>
      <c r="M63" t="s">
        <v>557</v>
      </c>
      <c r="N63" t="s">
        <v>55</v>
      </c>
      <c r="O63" s="209" t="s">
        <v>129</v>
      </c>
      <c r="P63" s="209" t="s">
        <v>52</v>
      </c>
      <c r="Q63" t="s">
        <v>50</v>
      </c>
      <c r="R63" t="s">
        <v>51</v>
      </c>
      <c r="S63" t="s">
        <v>51</v>
      </c>
      <c r="T63" t="s">
        <v>51</v>
      </c>
    </row>
    <row r="64" spans="1:20">
      <c r="A64" t="s">
        <v>164</v>
      </c>
      <c r="B64" t="s">
        <v>48</v>
      </c>
      <c r="C64" t="s">
        <v>165</v>
      </c>
      <c r="D64" t="s">
        <v>50</v>
      </c>
      <c r="E64" t="s">
        <v>51</v>
      </c>
      <c r="F64" t="s">
        <v>51</v>
      </c>
      <c r="G64" t="s">
        <v>52</v>
      </c>
      <c r="H64" t="s">
        <v>52</v>
      </c>
      <c r="I64" t="s">
        <v>52</v>
      </c>
      <c r="J64" t="s">
        <v>52</v>
      </c>
      <c r="K64" t="s">
        <v>52</v>
      </c>
      <c r="L64" t="s">
        <v>166</v>
      </c>
      <c r="M64" t="s">
        <v>167</v>
      </c>
      <c r="N64" t="s">
        <v>55</v>
      </c>
      <c r="O64" s="209" t="s">
        <v>137</v>
      </c>
      <c r="P64" s="209" t="s">
        <v>139</v>
      </c>
      <c r="Q64" t="s">
        <v>51</v>
      </c>
      <c r="R64" t="s">
        <v>51</v>
      </c>
      <c r="S64" t="s">
        <v>51</v>
      </c>
      <c r="T64" t="s">
        <v>51</v>
      </c>
    </row>
    <row r="65" spans="1:20">
      <c r="A65" t="s">
        <v>168</v>
      </c>
      <c r="B65" t="s">
        <v>58</v>
      </c>
      <c r="C65" t="s">
        <v>165</v>
      </c>
      <c r="D65" t="s">
        <v>50</v>
      </c>
      <c r="E65" t="s">
        <v>51</v>
      </c>
      <c r="F65" t="s">
        <v>51</v>
      </c>
      <c r="G65" t="s">
        <v>52</v>
      </c>
      <c r="H65" t="s">
        <v>52</v>
      </c>
      <c r="I65" t="s">
        <v>52</v>
      </c>
      <c r="J65" t="s">
        <v>52</v>
      </c>
      <c r="K65" t="s">
        <v>52</v>
      </c>
      <c r="L65" t="s">
        <v>166</v>
      </c>
      <c r="M65" t="s">
        <v>167</v>
      </c>
      <c r="N65" t="s">
        <v>55</v>
      </c>
      <c r="O65" s="209" t="s">
        <v>137</v>
      </c>
      <c r="P65" s="209" t="s">
        <v>139</v>
      </c>
      <c r="Q65" t="s">
        <v>51</v>
      </c>
      <c r="R65" t="s">
        <v>51</v>
      </c>
      <c r="S65" t="s">
        <v>51</v>
      </c>
      <c r="T65" t="s">
        <v>51</v>
      </c>
    </row>
    <row r="66" spans="1:20">
      <c r="A66" t="s">
        <v>47</v>
      </c>
      <c r="B66" t="s">
        <v>48</v>
      </c>
      <c r="C66" t="s">
        <v>165</v>
      </c>
      <c r="D66" t="s">
        <v>50</v>
      </c>
      <c r="E66" t="s">
        <v>51</v>
      </c>
      <c r="F66" t="s">
        <v>51</v>
      </c>
      <c r="G66" t="s">
        <v>52</v>
      </c>
      <c r="H66" t="s">
        <v>52</v>
      </c>
      <c r="I66" t="s">
        <v>52</v>
      </c>
      <c r="J66" t="s">
        <v>52</v>
      </c>
      <c r="K66" t="s">
        <v>52</v>
      </c>
      <c r="L66" t="s">
        <v>186</v>
      </c>
      <c r="M66" t="s">
        <v>187</v>
      </c>
      <c r="N66" t="s">
        <v>55</v>
      </c>
      <c r="O66" s="209" t="s">
        <v>137</v>
      </c>
      <c r="P66" s="209" t="s">
        <v>139</v>
      </c>
      <c r="Q66" t="s">
        <v>51</v>
      </c>
      <c r="R66" t="s">
        <v>51</v>
      </c>
      <c r="S66" t="s">
        <v>51</v>
      </c>
      <c r="T66" t="s">
        <v>51</v>
      </c>
    </row>
    <row r="67" spans="1:20">
      <c r="A67" t="s">
        <v>57</v>
      </c>
      <c r="B67" t="s">
        <v>58</v>
      </c>
      <c r="C67" t="s">
        <v>165</v>
      </c>
      <c r="D67" t="s">
        <v>50</v>
      </c>
      <c r="E67" t="s">
        <v>51</v>
      </c>
      <c r="F67" t="s">
        <v>51</v>
      </c>
      <c r="G67" t="s">
        <v>52</v>
      </c>
      <c r="H67" t="s">
        <v>52</v>
      </c>
      <c r="I67" t="s">
        <v>52</v>
      </c>
      <c r="J67" t="s">
        <v>52</v>
      </c>
      <c r="K67" t="s">
        <v>52</v>
      </c>
      <c r="L67" t="s">
        <v>186</v>
      </c>
      <c r="M67" t="s">
        <v>187</v>
      </c>
      <c r="N67" t="s">
        <v>55</v>
      </c>
      <c r="O67" s="209" t="s">
        <v>137</v>
      </c>
      <c r="P67" s="209" t="s">
        <v>139</v>
      </c>
      <c r="Q67" t="s">
        <v>51</v>
      </c>
      <c r="R67" t="s">
        <v>51</v>
      </c>
      <c r="S67" t="s">
        <v>51</v>
      </c>
      <c r="T67" t="s">
        <v>51</v>
      </c>
    </row>
    <row r="68" spans="1:20">
      <c r="A68" t="s">
        <v>59</v>
      </c>
      <c r="B68" t="s">
        <v>60</v>
      </c>
      <c r="C68" t="s">
        <v>165</v>
      </c>
      <c r="D68" t="s">
        <v>50</v>
      </c>
      <c r="E68" t="s">
        <v>51</v>
      </c>
      <c r="F68" t="s">
        <v>51</v>
      </c>
      <c r="G68" t="s">
        <v>52</v>
      </c>
      <c r="H68" t="s">
        <v>52</v>
      </c>
      <c r="I68" t="s">
        <v>52</v>
      </c>
      <c r="J68" t="s">
        <v>52</v>
      </c>
      <c r="K68" t="s">
        <v>52</v>
      </c>
      <c r="L68" t="s">
        <v>186</v>
      </c>
      <c r="M68" t="s">
        <v>187</v>
      </c>
      <c r="N68" t="s">
        <v>55</v>
      </c>
      <c r="O68" s="209" t="s">
        <v>137</v>
      </c>
      <c r="P68" s="209" t="s">
        <v>139</v>
      </c>
      <c r="Q68" t="s">
        <v>51</v>
      </c>
      <c r="R68" t="s">
        <v>51</v>
      </c>
      <c r="S68" t="s">
        <v>51</v>
      </c>
      <c r="T68" t="s">
        <v>51</v>
      </c>
    </row>
    <row r="69" spans="1:20">
      <c r="A69" t="s">
        <v>47</v>
      </c>
      <c r="B69" t="s">
        <v>48</v>
      </c>
      <c r="C69" t="s">
        <v>165</v>
      </c>
      <c r="D69" t="s">
        <v>50</v>
      </c>
      <c r="E69" t="s">
        <v>51</v>
      </c>
      <c r="F69" t="s">
        <v>51</v>
      </c>
      <c r="G69" t="s">
        <v>52</v>
      </c>
      <c r="H69" t="s">
        <v>52</v>
      </c>
      <c r="I69" t="s">
        <v>52</v>
      </c>
      <c r="J69" t="s">
        <v>52</v>
      </c>
      <c r="K69" t="s">
        <v>52</v>
      </c>
      <c r="L69" t="s">
        <v>188</v>
      </c>
      <c r="M69" t="s">
        <v>189</v>
      </c>
      <c r="N69" t="s">
        <v>55</v>
      </c>
      <c r="O69" s="209" t="s">
        <v>143</v>
      </c>
      <c r="P69" s="209" t="s">
        <v>145</v>
      </c>
      <c r="Q69" t="s">
        <v>51</v>
      </c>
      <c r="R69" t="s">
        <v>51</v>
      </c>
      <c r="S69" t="s">
        <v>51</v>
      </c>
      <c r="T69" t="s">
        <v>51</v>
      </c>
    </row>
    <row r="70" spans="1:20">
      <c r="A70" t="s">
        <v>57</v>
      </c>
      <c r="B70" t="s">
        <v>58</v>
      </c>
      <c r="C70" t="s">
        <v>165</v>
      </c>
      <c r="D70" t="s">
        <v>50</v>
      </c>
      <c r="E70" t="s">
        <v>51</v>
      </c>
      <c r="F70" t="s">
        <v>51</v>
      </c>
      <c r="G70" t="s">
        <v>52</v>
      </c>
      <c r="H70" t="s">
        <v>52</v>
      </c>
      <c r="I70" t="s">
        <v>52</v>
      </c>
      <c r="J70" t="s">
        <v>52</v>
      </c>
      <c r="K70" t="s">
        <v>52</v>
      </c>
      <c r="L70" t="s">
        <v>188</v>
      </c>
      <c r="M70" t="s">
        <v>189</v>
      </c>
      <c r="N70" t="s">
        <v>55</v>
      </c>
      <c r="O70" s="209" t="s">
        <v>143</v>
      </c>
      <c r="P70" s="209" t="s">
        <v>145</v>
      </c>
      <c r="Q70" t="s">
        <v>51</v>
      </c>
      <c r="R70" t="s">
        <v>51</v>
      </c>
      <c r="S70" t="s">
        <v>51</v>
      </c>
      <c r="T70" t="s">
        <v>51</v>
      </c>
    </row>
    <row r="71" spans="1:20">
      <c r="A71" t="s">
        <v>59</v>
      </c>
      <c r="B71" t="s">
        <v>60</v>
      </c>
      <c r="C71" t="s">
        <v>165</v>
      </c>
      <c r="D71" t="s">
        <v>50</v>
      </c>
      <c r="E71" t="s">
        <v>51</v>
      </c>
      <c r="F71" t="s">
        <v>51</v>
      </c>
      <c r="G71" t="s">
        <v>52</v>
      </c>
      <c r="H71" t="s">
        <v>52</v>
      </c>
      <c r="I71" t="s">
        <v>52</v>
      </c>
      <c r="J71" t="s">
        <v>52</v>
      </c>
      <c r="K71" t="s">
        <v>52</v>
      </c>
      <c r="L71" t="s">
        <v>188</v>
      </c>
      <c r="M71" t="s">
        <v>189</v>
      </c>
      <c r="N71" t="s">
        <v>55</v>
      </c>
      <c r="O71" s="209" t="s">
        <v>143</v>
      </c>
      <c r="P71" s="209" t="s">
        <v>145</v>
      </c>
      <c r="Q71" t="s">
        <v>51</v>
      </c>
      <c r="R71" t="s">
        <v>51</v>
      </c>
      <c r="S71" t="s">
        <v>51</v>
      </c>
      <c r="T71" t="s">
        <v>51</v>
      </c>
    </row>
    <row r="72" spans="1:20">
      <c r="A72" t="s">
        <v>47</v>
      </c>
      <c r="B72" t="s">
        <v>48</v>
      </c>
      <c r="C72" t="s">
        <v>165</v>
      </c>
      <c r="D72" t="s">
        <v>50</v>
      </c>
      <c r="E72" t="s">
        <v>51</v>
      </c>
      <c r="F72" t="s">
        <v>51</v>
      </c>
      <c r="G72" t="s">
        <v>52</v>
      </c>
      <c r="H72" t="s">
        <v>52</v>
      </c>
      <c r="I72" t="s">
        <v>52</v>
      </c>
      <c r="J72" t="s">
        <v>52</v>
      </c>
      <c r="K72" t="s">
        <v>52</v>
      </c>
      <c r="L72" t="s">
        <v>190</v>
      </c>
      <c r="M72" t="s">
        <v>191</v>
      </c>
      <c r="N72" t="s">
        <v>55</v>
      </c>
      <c r="O72" s="209" t="s">
        <v>149</v>
      </c>
      <c r="P72" s="209" t="s">
        <v>151</v>
      </c>
      <c r="Q72" t="s">
        <v>51</v>
      </c>
      <c r="R72" t="s">
        <v>51</v>
      </c>
      <c r="S72" t="s">
        <v>51</v>
      </c>
      <c r="T72" t="s">
        <v>51</v>
      </c>
    </row>
    <row r="73" spans="1:20">
      <c r="A73" t="s">
        <v>57</v>
      </c>
      <c r="B73" t="s">
        <v>58</v>
      </c>
      <c r="C73" t="s">
        <v>165</v>
      </c>
      <c r="D73" t="s">
        <v>50</v>
      </c>
      <c r="E73" t="s">
        <v>51</v>
      </c>
      <c r="F73" t="s">
        <v>51</v>
      </c>
      <c r="G73" t="s">
        <v>52</v>
      </c>
      <c r="H73" t="s">
        <v>52</v>
      </c>
      <c r="I73" t="s">
        <v>52</v>
      </c>
      <c r="J73" t="s">
        <v>52</v>
      </c>
      <c r="K73" t="s">
        <v>52</v>
      </c>
      <c r="L73" t="s">
        <v>190</v>
      </c>
      <c r="M73" t="s">
        <v>191</v>
      </c>
      <c r="N73" t="s">
        <v>55</v>
      </c>
      <c r="O73" s="209" t="s">
        <v>149</v>
      </c>
      <c r="P73" s="209" t="s">
        <v>151</v>
      </c>
      <c r="Q73" t="s">
        <v>51</v>
      </c>
      <c r="R73" t="s">
        <v>51</v>
      </c>
      <c r="S73" t="s">
        <v>51</v>
      </c>
      <c r="T73" t="s">
        <v>51</v>
      </c>
    </row>
    <row r="74" spans="1:20">
      <c r="A74" t="s">
        <v>59</v>
      </c>
      <c r="B74" t="s">
        <v>60</v>
      </c>
      <c r="C74" t="s">
        <v>165</v>
      </c>
      <c r="D74" t="s">
        <v>50</v>
      </c>
      <c r="E74" t="s">
        <v>51</v>
      </c>
      <c r="F74" t="s">
        <v>51</v>
      </c>
      <c r="G74" t="s">
        <v>52</v>
      </c>
      <c r="H74" t="s">
        <v>52</v>
      </c>
      <c r="I74" t="s">
        <v>52</v>
      </c>
      <c r="J74" t="s">
        <v>52</v>
      </c>
      <c r="K74" t="s">
        <v>52</v>
      </c>
      <c r="L74" t="s">
        <v>190</v>
      </c>
      <c r="M74" t="s">
        <v>191</v>
      </c>
      <c r="N74" t="s">
        <v>55</v>
      </c>
      <c r="O74" s="209" t="s">
        <v>149</v>
      </c>
      <c r="P74" s="209" t="s">
        <v>151</v>
      </c>
      <c r="Q74" t="s">
        <v>51</v>
      </c>
      <c r="R74" t="s">
        <v>51</v>
      </c>
      <c r="S74" t="s">
        <v>51</v>
      </c>
      <c r="T74" t="s">
        <v>51</v>
      </c>
    </row>
    <row r="75" spans="1:20">
      <c r="A75" t="s">
        <v>160</v>
      </c>
      <c r="B75" t="s">
        <v>48</v>
      </c>
      <c r="C75" t="s">
        <v>49</v>
      </c>
      <c r="D75" t="s">
        <v>51</v>
      </c>
      <c r="E75" t="s">
        <v>50</v>
      </c>
      <c r="F75" t="s">
        <v>51</v>
      </c>
      <c r="G75" t="s">
        <v>52</v>
      </c>
      <c r="H75" t="s">
        <v>52</v>
      </c>
      <c r="I75" t="s">
        <v>52</v>
      </c>
      <c r="J75" t="s">
        <v>587</v>
      </c>
      <c r="K75" t="s">
        <v>52</v>
      </c>
      <c r="L75" t="s">
        <v>169</v>
      </c>
      <c r="M75" t="s">
        <v>170</v>
      </c>
      <c r="N75" t="s">
        <v>163</v>
      </c>
      <c r="O75" s="209" t="s">
        <v>83</v>
      </c>
      <c r="P75" s="209" t="s">
        <v>52</v>
      </c>
      <c r="Q75" t="s">
        <v>50</v>
      </c>
      <c r="R75" t="s">
        <v>51</v>
      </c>
      <c r="S75" t="s">
        <v>51</v>
      </c>
      <c r="T75" t="s">
        <v>51</v>
      </c>
    </row>
    <row r="76" spans="1:20">
      <c r="A76" t="s">
        <v>588</v>
      </c>
      <c r="B76" t="s">
        <v>589</v>
      </c>
      <c r="C76" t="s">
        <v>165</v>
      </c>
      <c r="D76" t="s">
        <v>50</v>
      </c>
      <c r="E76" t="s">
        <v>51</v>
      </c>
      <c r="F76" t="s">
        <v>51</v>
      </c>
      <c r="G76" t="s">
        <v>52</v>
      </c>
      <c r="H76" t="s">
        <v>52</v>
      </c>
      <c r="I76" t="s">
        <v>52</v>
      </c>
      <c r="J76" t="s">
        <v>52</v>
      </c>
      <c r="K76" t="s">
        <v>52</v>
      </c>
      <c r="L76" t="s">
        <v>171</v>
      </c>
      <c r="M76" t="s">
        <v>171</v>
      </c>
      <c r="N76" t="s">
        <v>163</v>
      </c>
      <c r="O76" s="209" t="s">
        <v>111</v>
      </c>
      <c r="P76" s="209" t="s">
        <v>111</v>
      </c>
      <c r="Q76" t="s">
        <v>51</v>
      </c>
      <c r="R76" t="s">
        <v>50</v>
      </c>
      <c r="S76" t="s">
        <v>51</v>
      </c>
      <c r="T76" t="s">
        <v>51</v>
      </c>
    </row>
    <row r="77" spans="1:20">
      <c r="A77" t="s">
        <v>47</v>
      </c>
      <c r="B77" t="s">
        <v>48</v>
      </c>
      <c r="C77" t="s">
        <v>49</v>
      </c>
      <c r="D77" t="s">
        <v>51</v>
      </c>
      <c r="E77" t="s">
        <v>50</v>
      </c>
      <c r="F77" t="s">
        <v>51</v>
      </c>
      <c r="G77" t="s">
        <v>52</v>
      </c>
      <c r="H77" t="s">
        <v>52</v>
      </c>
      <c r="I77" t="s">
        <v>52</v>
      </c>
      <c r="J77" t="s">
        <v>52</v>
      </c>
      <c r="K77" t="s">
        <v>52</v>
      </c>
      <c r="L77" t="s">
        <v>171</v>
      </c>
      <c r="M77" t="s">
        <v>171</v>
      </c>
      <c r="N77" t="s">
        <v>163</v>
      </c>
      <c r="O77" s="209" t="s">
        <v>111</v>
      </c>
      <c r="P77" s="209" t="s">
        <v>111</v>
      </c>
      <c r="Q77" t="s">
        <v>51</v>
      </c>
      <c r="R77" t="s">
        <v>50</v>
      </c>
      <c r="S77" t="s">
        <v>51</v>
      </c>
      <c r="T77" t="s">
        <v>51</v>
      </c>
    </row>
    <row r="78" spans="1:20">
      <c r="A78" t="s">
        <v>57</v>
      </c>
      <c r="B78" t="s">
        <v>58</v>
      </c>
      <c r="C78" t="s">
        <v>49</v>
      </c>
      <c r="D78" t="s">
        <v>51</v>
      </c>
      <c r="E78" t="s">
        <v>50</v>
      </c>
      <c r="F78" t="s">
        <v>51</v>
      </c>
      <c r="G78" t="s">
        <v>52</v>
      </c>
      <c r="H78" t="s">
        <v>52</v>
      </c>
      <c r="I78" t="s">
        <v>52</v>
      </c>
      <c r="J78" t="s">
        <v>52</v>
      </c>
      <c r="K78" t="s">
        <v>52</v>
      </c>
      <c r="L78" t="s">
        <v>171</v>
      </c>
      <c r="M78" t="s">
        <v>171</v>
      </c>
      <c r="N78" t="s">
        <v>163</v>
      </c>
      <c r="O78" s="209" t="s">
        <v>111</v>
      </c>
      <c r="P78" s="209" t="s">
        <v>111</v>
      </c>
      <c r="Q78" t="s">
        <v>51</v>
      </c>
      <c r="R78" t="s">
        <v>50</v>
      </c>
      <c r="S78" t="s">
        <v>51</v>
      </c>
      <c r="T78" t="s">
        <v>51</v>
      </c>
    </row>
    <row r="79" spans="1:20">
      <c r="A79" t="s">
        <v>59</v>
      </c>
      <c r="B79" t="s">
        <v>60</v>
      </c>
      <c r="C79" t="s">
        <v>49</v>
      </c>
      <c r="D79" t="s">
        <v>51</v>
      </c>
      <c r="E79" t="s">
        <v>50</v>
      </c>
      <c r="F79" t="s">
        <v>51</v>
      </c>
      <c r="G79" t="s">
        <v>52</v>
      </c>
      <c r="H79" t="s">
        <v>52</v>
      </c>
      <c r="I79" t="s">
        <v>52</v>
      </c>
      <c r="J79" t="s">
        <v>52</v>
      </c>
      <c r="K79" t="s">
        <v>52</v>
      </c>
      <c r="L79" t="s">
        <v>171</v>
      </c>
      <c r="M79" t="s">
        <v>171</v>
      </c>
      <c r="N79" t="s">
        <v>163</v>
      </c>
      <c r="O79" s="209" t="s">
        <v>111</v>
      </c>
      <c r="P79" s="209" t="s">
        <v>111</v>
      </c>
      <c r="Q79" t="s">
        <v>51</v>
      </c>
      <c r="R79" t="s">
        <v>50</v>
      </c>
      <c r="S79" t="s">
        <v>51</v>
      </c>
      <c r="T79" t="s">
        <v>51</v>
      </c>
    </row>
    <row r="80" spans="1:20">
      <c r="A80" t="s">
        <v>61</v>
      </c>
      <c r="B80" t="s">
        <v>62</v>
      </c>
      <c r="C80" t="s">
        <v>49</v>
      </c>
      <c r="D80" t="s">
        <v>51</v>
      </c>
      <c r="E80" t="s">
        <v>50</v>
      </c>
      <c r="F80" t="s">
        <v>51</v>
      </c>
      <c r="G80" t="s">
        <v>52</v>
      </c>
      <c r="H80" t="s">
        <v>52</v>
      </c>
      <c r="I80" t="s">
        <v>52</v>
      </c>
      <c r="J80" t="s">
        <v>52</v>
      </c>
      <c r="K80" t="s">
        <v>52</v>
      </c>
      <c r="L80" t="s">
        <v>171</v>
      </c>
      <c r="M80" t="s">
        <v>171</v>
      </c>
      <c r="N80" t="s">
        <v>163</v>
      </c>
      <c r="O80" s="209" t="s">
        <v>111</v>
      </c>
      <c r="P80" s="209" t="s">
        <v>111</v>
      </c>
      <c r="Q80" t="s">
        <v>51</v>
      </c>
      <c r="R80" t="s">
        <v>50</v>
      </c>
      <c r="S80" t="s">
        <v>51</v>
      </c>
      <c r="T80" t="s">
        <v>51</v>
      </c>
    </row>
    <row r="81" spans="1:20">
      <c r="A81" t="s">
        <v>63</v>
      </c>
      <c r="B81" t="s">
        <v>56</v>
      </c>
      <c r="C81" t="s">
        <v>49</v>
      </c>
      <c r="D81" t="s">
        <v>51</v>
      </c>
      <c r="E81" t="s">
        <v>50</v>
      </c>
      <c r="F81" t="s">
        <v>51</v>
      </c>
      <c r="G81" t="s">
        <v>52</v>
      </c>
      <c r="H81" t="s">
        <v>52</v>
      </c>
      <c r="I81" t="s">
        <v>52</v>
      </c>
      <c r="J81" t="s">
        <v>52</v>
      </c>
      <c r="K81" t="s">
        <v>52</v>
      </c>
      <c r="L81" t="s">
        <v>171</v>
      </c>
      <c r="M81" t="s">
        <v>171</v>
      </c>
      <c r="N81" t="s">
        <v>163</v>
      </c>
      <c r="O81" s="209" t="s">
        <v>111</v>
      </c>
      <c r="P81" s="209" t="s">
        <v>111</v>
      </c>
      <c r="Q81" t="s">
        <v>51</v>
      </c>
      <c r="R81" t="s">
        <v>50</v>
      </c>
      <c r="S81" t="s">
        <v>51</v>
      </c>
      <c r="T81" t="s">
        <v>51</v>
      </c>
    </row>
    <row r="82" spans="1:20">
      <c r="A82" t="s">
        <v>160</v>
      </c>
      <c r="B82" t="s">
        <v>48</v>
      </c>
      <c r="C82" t="s">
        <v>49</v>
      </c>
      <c r="D82" t="s">
        <v>51</v>
      </c>
      <c r="E82" t="s">
        <v>50</v>
      </c>
      <c r="F82" t="s">
        <v>51</v>
      </c>
      <c r="G82" t="s">
        <v>52</v>
      </c>
      <c r="H82" t="s">
        <v>52</v>
      </c>
      <c r="I82" t="s">
        <v>52</v>
      </c>
      <c r="J82" t="s">
        <v>52</v>
      </c>
      <c r="K82" t="s">
        <v>52</v>
      </c>
      <c r="L82" t="s">
        <v>161</v>
      </c>
      <c r="M82" t="s">
        <v>162</v>
      </c>
      <c r="N82" t="s">
        <v>163</v>
      </c>
      <c r="O82" s="209" t="s">
        <v>115</v>
      </c>
      <c r="P82" s="209" t="s">
        <v>52</v>
      </c>
      <c r="Q82" t="s">
        <v>50</v>
      </c>
      <c r="R82" t="s">
        <v>51</v>
      </c>
      <c r="S82" t="s">
        <v>51</v>
      </c>
      <c r="T82" t="s">
        <v>51</v>
      </c>
    </row>
    <row r="83" spans="1:20">
      <c r="A83" t="s">
        <v>47</v>
      </c>
      <c r="B83" t="s">
        <v>48</v>
      </c>
      <c r="C83" t="s">
        <v>49</v>
      </c>
      <c r="D83" t="s">
        <v>50</v>
      </c>
      <c r="E83" t="s">
        <v>51</v>
      </c>
      <c r="F83" t="s">
        <v>51</v>
      </c>
      <c r="G83" t="s">
        <v>52</v>
      </c>
      <c r="H83" t="s">
        <v>52</v>
      </c>
      <c r="I83" t="s">
        <v>52</v>
      </c>
      <c r="J83" t="s">
        <v>52</v>
      </c>
      <c r="K83" t="s">
        <v>52</v>
      </c>
      <c r="L83" t="s">
        <v>154</v>
      </c>
      <c r="M83" t="s">
        <v>155</v>
      </c>
      <c r="N83" t="s">
        <v>156</v>
      </c>
      <c r="O83" s="209" t="s">
        <v>103</v>
      </c>
      <c r="P83" s="209" t="s">
        <v>103</v>
      </c>
      <c r="Q83" t="s">
        <v>51</v>
      </c>
      <c r="R83" t="s">
        <v>51</v>
      </c>
      <c r="S83" t="s">
        <v>51</v>
      </c>
      <c r="T83" t="s">
        <v>51</v>
      </c>
    </row>
    <row r="84" spans="1:20">
      <c r="A84" t="s">
        <v>57</v>
      </c>
      <c r="B84" t="s">
        <v>58</v>
      </c>
      <c r="C84" t="s">
        <v>49</v>
      </c>
      <c r="D84" t="s">
        <v>50</v>
      </c>
      <c r="E84" t="s">
        <v>51</v>
      </c>
      <c r="F84" t="s">
        <v>51</v>
      </c>
      <c r="G84" t="s">
        <v>52</v>
      </c>
      <c r="H84" t="s">
        <v>52</v>
      </c>
      <c r="I84" t="s">
        <v>52</v>
      </c>
      <c r="J84" t="s">
        <v>52</v>
      </c>
      <c r="K84" t="s">
        <v>52</v>
      </c>
      <c r="L84" t="s">
        <v>154</v>
      </c>
      <c r="M84" t="s">
        <v>155</v>
      </c>
      <c r="N84" t="s">
        <v>156</v>
      </c>
      <c r="O84" s="209" t="s">
        <v>103</v>
      </c>
      <c r="P84" s="209" t="s">
        <v>103</v>
      </c>
      <c r="Q84" t="s">
        <v>51</v>
      </c>
      <c r="R84" t="s">
        <v>51</v>
      </c>
      <c r="S84" t="s">
        <v>51</v>
      </c>
      <c r="T84" t="s">
        <v>51</v>
      </c>
    </row>
    <row r="85" spans="1:20">
      <c r="A85" t="s">
        <v>59</v>
      </c>
      <c r="B85" t="s">
        <v>60</v>
      </c>
      <c r="C85" t="s">
        <v>49</v>
      </c>
      <c r="D85" t="s">
        <v>50</v>
      </c>
      <c r="E85" t="s">
        <v>51</v>
      </c>
      <c r="F85" t="s">
        <v>51</v>
      </c>
      <c r="G85" t="s">
        <v>52</v>
      </c>
      <c r="H85" t="s">
        <v>52</v>
      </c>
      <c r="I85" t="s">
        <v>52</v>
      </c>
      <c r="J85" t="s">
        <v>52</v>
      </c>
      <c r="K85" t="s">
        <v>52</v>
      </c>
      <c r="L85" t="s">
        <v>154</v>
      </c>
      <c r="M85" t="s">
        <v>155</v>
      </c>
      <c r="N85" t="s">
        <v>156</v>
      </c>
      <c r="O85" s="209" t="s">
        <v>103</v>
      </c>
      <c r="P85" s="209" t="s">
        <v>103</v>
      </c>
      <c r="Q85" t="s">
        <v>51</v>
      </c>
      <c r="R85" t="s">
        <v>51</v>
      </c>
      <c r="S85" t="s">
        <v>51</v>
      </c>
      <c r="T85" t="s">
        <v>51</v>
      </c>
    </row>
    <row r="86" spans="1:20">
      <c r="A86" t="s">
        <v>61</v>
      </c>
      <c r="B86" t="s">
        <v>62</v>
      </c>
      <c r="C86" t="s">
        <v>49</v>
      </c>
      <c r="D86" t="s">
        <v>50</v>
      </c>
      <c r="E86" t="s">
        <v>51</v>
      </c>
      <c r="F86" t="s">
        <v>51</v>
      </c>
      <c r="G86" t="s">
        <v>52</v>
      </c>
      <c r="H86" t="s">
        <v>52</v>
      </c>
      <c r="I86" t="s">
        <v>52</v>
      </c>
      <c r="J86" t="s">
        <v>52</v>
      </c>
      <c r="K86" t="s">
        <v>52</v>
      </c>
      <c r="L86" t="s">
        <v>154</v>
      </c>
      <c r="M86" t="s">
        <v>155</v>
      </c>
      <c r="N86" t="s">
        <v>156</v>
      </c>
      <c r="O86" s="209" t="s">
        <v>103</v>
      </c>
      <c r="P86" s="209" t="s">
        <v>103</v>
      </c>
      <c r="Q86" t="s">
        <v>51</v>
      </c>
      <c r="R86" t="s">
        <v>51</v>
      </c>
      <c r="S86" t="s">
        <v>51</v>
      </c>
      <c r="T86" t="s">
        <v>51</v>
      </c>
    </row>
    <row r="87" spans="1:20">
      <c r="A87" t="s">
        <v>63</v>
      </c>
      <c r="B87" t="s">
        <v>56</v>
      </c>
      <c r="C87" t="s">
        <v>49</v>
      </c>
      <c r="D87" t="s">
        <v>50</v>
      </c>
      <c r="E87" t="s">
        <v>51</v>
      </c>
      <c r="F87" t="s">
        <v>51</v>
      </c>
      <c r="G87" t="s">
        <v>52</v>
      </c>
      <c r="H87" t="s">
        <v>52</v>
      </c>
      <c r="I87" t="s">
        <v>52</v>
      </c>
      <c r="J87" t="s">
        <v>52</v>
      </c>
      <c r="K87" t="s">
        <v>52</v>
      </c>
      <c r="L87" t="s">
        <v>154</v>
      </c>
      <c r="M87" t="s">
        <v>155</v>
      </c>
      <c r="N87" t="s">
        <v>156</v>
      </c>
      <c r="O87" s="209" t="s">
        <v>103</v>
      </c>
      <c r="P87" s="209" t="s">
        <v>103</v>
      </c>
      <c r="Q87" t="s">
        <v>51</v>
      </c>
      <c r="R87" t="s">
        <v>51</v>
      </c>
      <c r="S87" t="s">
        <v>51</v>
      </c>
      <c r="T87" t="s">
        <v>51</v>
      </c>
    </row>
    <row r="88" spans="1:20">
      <c r="A88" t="s">
        <v>64</v>
      </c>
      <c r="B88" t="s">
        <v>65</v>
      </c>
      <c r="C88" t="s">
        <v>49</v>
      </c>
      <c r="D88" t="s">
        <v>50</v>
      </c>
      <c r="E88" t="s">
        <v>51</v>
      </c>
      <c r="F88" t="s">
        <v>51</v>
      </c>
      <c r="G88" t="s">
        <v>52</v>
      </c>
      <c r="H88" t="s">
        <v>52</v>
      </c>
      <c r="I88" t="s">
        <v>52</v>
      </c>
      <c r="J88" t="s">
        <v>52</v>
      </c>
      <c r="K88" t="s">
        <v>52</v>
      </c>
      <c r="L88" t="s">
        <v>154</v>
      </c>
      <c r="M88" t="s">
        <v>155</v>
      </c>
      <c r="N88" t="s">
        <v>156</v>
      </c>
      <c r="O88" s="209" t="s">
        <v>103</v>
      </c>
      <c r="P88" s="209" t="s">
        <v>103</v>
      </c>
      <c r="Q88" t="s">
        <v>51</v>
      </c>
      <c r="R88" t="s">
        <v>51</v>
      </c>
      <c r="S88" t="s">
        <v>51</v>
      </c>
      <c r="T88" t="s">
        <v>51</v>
      </c>
    </row>
    <row r="89" spans="1:20">
      <c r="A89" t="s">
        <v>66</v>
      </c>
      <c r="B89" t="s">
        <v>67</v>
      </c>
      <c r="C89" t="s">
        <v>49</v>
      </c>
      <c r="D89" t="s">
        <v>50</v>
      </c>
      <c r="E89" t="s">
        <v>51</v>
      </c>
      <c r="F89" t="s">
        <v>51</v>
      </c>
      <c r="G89" t="s">
        <v>52</v>
      </c>
      <c r="H89" t="s">
        <v>52</v>
      </c>
      <c r="I89" t="s">
        <v>52</v>
      </c>
      <c r="J89" t="s">
        <v>52</v>
      </c>
      <c r="K89" t="s">
        <v>52</v>
      </c>
      <c r="L89" t="s">
        <v>154</v>
      </c>
      <c r="M89" t="s">
        <v>155</v>
      </c>
      <c r="N89" t="s">
        <v>156</v>
      </c>
      <c r="O89" s="209" t="s">
        <v>103</v>
      </c>
      <c r="P89" s="209" t="s">
        <v>103</v>
      </c>
      <c r="Q89" t="s">
        <v>51</v>
      </c>
      <c r="R89" t="s">
        <v>51</v>
      </c>
      <c r="S89" t="s">
        <v>51</v>
      </c>
      <c r="T89" t="s">
        <v>51</v>
      </c>
    </row>
    <row r="90" spans="1:20">
      <c r="A90" t="s">
        <v>68</v>
      </c>
      <c r="B90" t="s">
        <v>69</v>
      </c>
      <c r="C90" t="s">
        <v>49</v>
      </c>
      <c r="D90" t="s">
        <v>50</v>
      </c>
      <c r="E90" t="s">
        <v>51</v>
      </c>
      <c r="F90" t="s">
        <v>51</v>
      </c>
      <c r="G90" t="s">
        <v>52</v>
      </c>
      <c r="H90" t="s">
        <v>52</v>
      </c>
      <c r="I90" t="s">
        <v>52</v>
      </c>
      <c r="J90" t="s">
        <v>52</v>
      </c>
      <c r="K90" t="s">
        <v>52</v>
      </c>
      <c r="L90" t="s">
        <v>154</v>
      </c>
      <c r="M90" t="s">
        <v>155</v>
      </c>
      <c r="N90" t="s">
        <v>156</v>
      </c>
      <c r="O90" s="209" t="s">
        <v>103</v>
      </c>
      <c r="P90" s="209" t="s">
        <v>103</v>
      </c>
      <c r="Q90" t="s">
        <v>51</v>
      </c>
      <c r="R90" t="s">
        <v>51</v>
      </c>
      <c r="S90" t="s">
        <v>51</v>
      </c>
      <c r="T90" t="s">
        <v>51</v>
      </c>
    </row>
    <row r="91" spans="1:20">
      <c r="A91" t="s">
        <v>70</v>
      </c>
      <c r="B91" t="s">
        <v>71</v>
      </c>
      <c r="C91" t="s">
        <v>49</v>
      </c>
      <c r="D91" t="s">
        <v>50</v>
      </c>
      <c r="E91" t="s">
        <v>51</v>
      </c>
      <c r="F91" t="s">
        <v>51</v>
      </c>
      <c r="G91" t="s">
        <v>52</v>
      </c>
      <c r="H91" t="s">
        <v>52</v>
      </c>
      <c r="I91" t="s">
        <v>52</v>
      </c>
      <c r="J91" t="s">
        <v>52</v>
      </c>
      <c r="K91" t="s">
        <v>52</v>
      </c>
      <c r="L91" t="s">
        <v>154</v>
      </c>
      <c r="M91" t="s">
        <v>155</v>
      </c>
      <c r="N91" t="s">
        <v>156</v>
      </c>
      <c r="O91" s="209" t="s">
        <v>103</v>
      </c>
      <c r="P91" s="209" t="s">
        <v>103</v>
      </c>
      <c r="Q91" t="s">
        <v>51</v>
      </c>
      <c r="R91" t="s">
        <v>51</v>
      </c>
      <c r="S91" t="s">
        <v>51</v>
      </c>
      <c r="T91" t="s">
        <v>51</v>
      </c>
    </row>
    <row r="92" spans="1:20">
      <c r="A92" t="s">
        <v>72</v>
      </c>
      <c r="B92" t="s">
        <v>73</v>
      </c>
      <c r="C92" t="s">
        <v>49</v>
      </c>
      <c r="D92" t="s">
        <v>50</v>
      </c>
      <c r="E92" t="s">
        <v>51</v>
      </c>
      <c r="F92" t="s">
        <v>51</v>
      </c>
      <c r="G92" t="s">
        <v>52</v>
      </c>
      <c r="H92" t="s">
        <v>52</v>
      </c>
      <c r="I92" t="s">
        <v>52</v>
      </c>
      <c r="J92" t="s">
        <v>52</v>
      </c>
      <c r="K92" t="s">
        <v>52</v>
      </c>
      <c r="L92" t="s">
        <v>154</v>
      </c>
      <c r="M92" t="s">
        <v>155</v>
      </c>
      <c r="N92" t="s">
        <v>156</v>
      </c>
      <c r="O92" s="209" t="s">
        <v>103</v>
      </c>
      <c r="P92" s="209" t="s">
        <v>103</v>
      </c>
      <c r="Q92" t="s">
        <v>51</v>
      </c>
      <c r="R92" t="s">
        <v>51</v>
      </c>
      <c r="S92" t="s">
        <v>51</v>
      </c>
      <c r="T92" t="s">
        <v>51</v>
      </c>
    </row>
    <row r="93" spans="1:20">
      <c r="A93" t="s">
        <v>74</v>
      </c>
      <c r="B93" t="s">
        <v>75</v>
      </c>
      <c r="C93" t="s">
        <v>49</v>
      </c>
      <c r="D93" t="s">
        <v>50</v>
      </c>
      <c r="E93" t="s">
        <v>51</v>
      </c>
      <c r="F93" t="s">
        <v>51</v>
      </c>
      <c r="G93" t="s">
        <v>52</v>
      </c>
      <c r="H93" t="s">
        <v>52</v>
      </c>
      <c r="I93" t="s">
        <v>52</v>
      </c>
      <c r="J93" t="s">
        <v>52</v>
      </c>
      <c r="K93" t="s">
        <v>52</v>
      </c>
      <c r="L93" t="s">
        <v>154</v>
      </c>
      <c r="M93" t="s">
        <v>155</v>
      </c>
      <c r="N93" t="s">
        <v>156</v>
      </c>
      <c r="O93" s="209" t="s">
        <v>103</v>
      </c>
      <c r="P93" s="209" t="s">
        <v>103</v>
      </c>
      <c r="Q93" t="s">
        <v>51</v>
      </c>
      <c r="R93" t="s">
        <v>51</v>
      </c>
      <c r="S93" t="s">
        <v>51</v>
      </c>
      <c r="T93" t="s">
        <v>51</v>
      </c>
    </row>
    <row r="94" spans="1:20">
      <c r="A94" t="s">
        <v>76</v>
      </c>
      <c r="B94" t="s">
        <v>77</v>
      </c>
      <c r="C94" t="s">
        <v>49</v>
      </c>
      <c r="D94" t="s">
        <v>50</v>
      </c>
      <c r="E94" t="s">
        <v>51</v>
      </c>
      <c r="F94" t="s">
        <v>51</v>
      </c>
      <c r="G94" t="s">
        <v>52</v>
      </c>
      <c r="H94" t="s">
        <v>52</v>
      </c>
      <c r="I94" t="s">
        <v>52</v>
      </c>
      <c r="J94" t="s">
        <v>52</v>
      </c>
      <c r="K94" t="s">
        <v>52</v>
      </c>
      <c r="L94" t="s">
        <v>154</v>
      </c>
      <c r="M94" t="s">
        <v>155</v>
      </c>
      <c r="N94" t="s">
        <v>156</v>
      </c>
      <c r="O94" s="209" t="s">
        <v>103</v>
      </c>
      <c r="P94" s="209" t="s">
        <v>103</v>
      </c>
      <c r="Q94" t="s">
        <v>51</v>
      </c>
      <c r="R94" t="s">
        <v>51</v>
      </c>
      <c r="S94" t="s">
        <v>51</v>
      </c>
      <c r="T94" t="s">
        <v>51</v>
      </c>
    </row>
    <row r="95" spans="1:20">
      <c r="A95" t="s">
        <v>78</v>
      </c>
      <c r="B95" t="s">
        <v>79</v>
      </c>
      <c r="C95" t="s">
        <v>49</v>
      </c>
      <c r="D95" t="s">
        <v>50</v>
      </c>
      <c r="E95" t="s">
        <v>51</v>
      </c>
      <c r="F95" t="s">
        <v>51</v>
      </c>
      <c r="G95" t="s">
        <v>52</v>
      </c>
      <c r="H95" t="s">
        <v>52</v>
      </c>
      <c r="I95" t="s">
        <v>52</v>
      </c>
      <c r="J95" t="s">
        <v>52</v>
      </c>
      <c r="K95" t="s">
        <v>52</v>
      </c>
      <c r="L95" t="s">
        <v>154</v>
      </c>
      <c r="M95" t="s">
        <v>155</v>
      </c>
      <c r="N95" t="s">
        <v>156</v>
      </c>
      <c r="O95" s="209" t="s">
        <v>103</v>
      </c>
      <c r="P95" s="209" t="s">
        <v>103</v>
      </c>
      <c r="Q95" t="s">
        <v>51</v>
      </c>
      <c r="R95" t="s">
        <v>51</v>
      </c>
      <c r="S95" t="s">
        <v>51</v>
      </c>
      <c r="T95" t="s">
        <v>51</v>
      </c>
    </row>
    <row r="96" spans="1:20">
      <c r="A96" t="s">
        <v>80</v>
      </c>
      <c r="B96" t="s">
        <v>81</v>
      </c>
      <c r="C96" t="s">
        <v>49</v>
      </c>
      <c r="D96" t="s">
        <v>50</v>
      </c>
      <c r="E96" t="s">
        <v>51</v>
      </c>
      <c r="F96" t="s">
        <v>51</v>
      </c>
      <c r="G96" t="s">
        <v>52</v>
      </c>
      <c r="H96" t="s">
        <v>52</v>
      </c>
      <c r="I96" t="s">
        <v>52</v>
      </c>
      <c r="J96" t="s">
        <v>52</v>
      </c>
      <c r="K96" t="s">
        <v>52</v>
      </c>
      <c r="L96" t="s">
        <v>154</v>
      </c>
      <c r="M96" t="s">
        <v>155</v>
      </c>
      <c r="N96" t="s">
        <v>156</v>
      </c>
      <c r="O96" s="209" t="s">
        <v>103</v>
      </c>
      <c r="P96" s="209" t="s">
        <v>103</v>
      </c>
      <c r="Q96" t="s">
        <v>51</v>
      </c>
      <c r="R96" t="s">
        <v>51</v>
      </c>
      <c r="S96" t="s">
        <v>51</v>
      </c>
      <c r="T96" t="s">
        <v>51</v>
      </c>
    </row>
    <row r="97" spans="1:20">
      <c r="A97" t="s">
        <v>82</v>
      </c>
      <c r="B97" t="s">
        <v>83</v>
      </c>
      <c r="C97" t="s">
        <v>49</v>
      </c>
      <c r="D97" t="s">
        <v>50</v>
      </c>
      <c r="E97" t="s">
        <v>51</v>
      </c>
      <c r="F97" t="s">
        <v>51</v>
      </c>
      <c r="G97" t="s">
        <v>52</v>
      </c>
      <c r="H97" t="s">
        <v>52</v>
      </c>
      <c r="I97" t="s">
        <v>52</v>
      </c>
      <c r="J97" t="s">
        <v>52</v>
      </c>
      <c r="K97" t="s">
        <v>52</v>
      </c>
      <c r="L97" t="s">
        <v>154</v>
      </c>
      <c r="M97" t="s">
        <v>155</v>
      </c>
      <c r="N97" t="s">
        <v>156</v>
      </c>
      <c r="O97" s="209" t="s">
        <v>103</v>
      </c>
      <c r="P97" s="209" t="s">
        <v>103</v>
      </c>
      <c r="Q97" t="s">
        <v>51</v>
      </c>
      <c r="R97" t="s">
        <v>51</v>
      </c>
      <c r="S97" t="s">
        <v>51</v>
      </c>
      <c r="T97" t="s">
        <v>51</v>
      </c>
    </row>
    <row r="98" spans="1:20">
      <c r="A98" t="s">
        <v>84</v>
      </c>
      <c r="B98" t="s">
        <v>85</v>
      </c>
      <c r="C98" t="s">
        <v>49</v>
      </c>
      <c r="D98" t="s">
        <v>50</v>
      </c>
      <c r="E98" t="s">
        <v>51</v>
      </c>
      <c r="F98" t="s">
        <v>51</v>
      </c>
      <c r="G98" t="s">
        <v>52</v>
      </c>
      <c r="H98" t="s">
        <v>52</v>
      </c>
      <c r="I98" t="s">
        <v>52</v>
      </c>
      <c r="J98" t="s">
        <v>52</v>
      </c>
      <c r="K98" t="s">
        <v>52</v>
      </c>
      <c r="L98" t="s">
        <v>154</v>
      </c>
      <c r="M98" t="s">
        <v>155</v>
      </c>
      <c r="N98" t="s">
        <v>156</v>
      </c>
      <c r="O98" s="209" t="s">
        <v>103</v>
      </c>
      <c r="P98" s="209" t="s">
        <v>103</v>
      </c>
      <c r="Q98" t="s">
        <v>51</v>
      </c>
      <c r="R98" t="s">
        <v>51</v>
      </c>
      <c r="S98" t="s">
        <v>51</v>
      </c>
      <c r="T98" t="s">
        <v>51</v>
      </c>
    </row>
    <row r="99" spans="1:20">
      <c r="A99" t="s">
        <v>86</v>
      </c>
      <c r="B99" t="s">
        <v>87</v>
      </c>
      <c r="C99" t="s">
        <v>49</v>
      </c>
      <c r="D99" t="s">
        <v>50</v>
      </c>
      <c r="E99" t="s">
        <v>51</v>
      </c>
      <c r="F99" t="s">
        <v>51</v>
      </c>
      <c r="G99" t="s">
        <v>52</v>
      </c>
      <c r="H99" t="s">
        <v>52</v>
      </c>
      <c r="I99" t="s">
        <v>52</v>
      </c>
      <c r="J99" t="s">
        <v>52</v>
      </c>
      <c r="K99" t="s">
        <v>52</v>
      </c>
      <c r="L99" t="s">
        <v>154</v>
      </c>
      <c r="M99" t="s">
        <v>155</v>
      </c>
      <c r="N99" t="s">
        <v>156</v>
      </c>
      <c r="O99" s="209" t="s">
        <v>103</v>
      </c>
      <c r="P99" s="209" t="s">
        <v>103</v>
      </c>
      <c r="Q99" t="s">
        <v>51</v>
      </c>
      <c r="R99" t="s">
        <v>51</v>
      </c>
      <c r="S99" t="s">
        <v>51</v>
      </c>
      <c r="T99" t="s">
        <v>51</v>
      </c>
    </row>
    <row r="100" spans="1:20">
      <c r="A100" t="s">
        <v>88</v>
      </c>
      <c r="B100" t="s">
        <v>89</v>
      </c>
      <c r="C100" t="s">
        <v>49</v>
      </c>
      <c r="D100" t="s">
        <v>50</v>
      </c>
      <c r="E100" t="s">
        <v>51</v>
      </c>
      <c r="F100" t="s">
        <v>51</v>
      </c>
      <c r="G100" t="s">
        <v>52</v>
      </c>
      <c r="H100" t="s">
        <v>52</v>
      </c>
      <c r="I100" t="s">
        <v>52</v>
      </c>
      <c r="J100" t="s">
        <v>52</v>
      </c>
      <c r="K100" t="s">
        <v>52</v>
      </c>
      <c r="L100" t="s">
        <v>154</v>
      </c>
      <c r="M100" t="s">
        <v>155</v>
      </c>
      <c r="N100" t="s">
        <v>156</v>
      </c>
      <c r="O100" s="209" t="s">
        <v>103</v>
      </c>
      <c r="P100" s="209" t="s">
        <v>103</v>
      </c>
      <c r="Q100" t="s">
        <v>51</v>
      </c>
      <c r="R100" t="s">
        <v>51</v>
      </c>
      <c r="S100" t="s">
        <v>51</v>
      </c>
      <c r="T100" t="s">
        <v>51</v>
      </c>
    </row>
    <row r="101" spans="1:20">
      <c r="A101" t="s">
        <v>90</v>
      </c>
      <c r="B101" t="s">
        <v>91</v>
      </c>
      <c r="C101" t="s">
        <v>49</v>
      </c>
      <c r="D101" t="s">
        <v>50</v>
      </c>
      <c r="E101" t="s">
        <v>51</v>
      </c>
      <c r="F101" t="s">
        <v>51</v>
      </c>
      <c r="G101" t="s">
        <v>52</v>
      </c>
      <c r="H101" t="s">
        <v>52</v>
      </c>
      <c r="I101" t="s">
        <v>52</v>
      </c>
      <c r="J101" t="s">
        <v>52</v>
      </c>
      <c r="K101" t="s">
        <v>52</v>
      </c>
      <c r="L101" t="s">
        <v>154</v>
      </c>
      <c r="M101" t="s">
        <v>155</v>
      </c>
      <c r="N101" t="s">
        <v>156</v>
      </c>
      <c r="O101" s="209" t="s">
        <v>103</v>
      </c>
      <c r="P101" s="209" t="s">
        <v>103</v>
      </c>
      <c r="Q101" t="s">
        <v>51</v>
      </c>
      <c r="R101" t="s">
        <v>51</v>
      </c>
      <c r="S101" t="s">
        <v>51</v>
      </c>
      <c r="T101" t="s">
        <v>51</v>
      </c>
    </row>
    <row r="102" spans="1:20">
      <c r="A102" t="s">
        <v>92</v>
      </c>
      <c r="B102" t="s">
        <v>93</v>
      </c>
      <c r="C102" t="s">
        <v>49</v>
      </c>
      <c r="D102" t="s">
        <v>50</v>
      </c>
      <c r="E102" t="s">
        <v>51</v>
      </c>
      <c r="F102" t="s">
        <v>51</v>
      </c>
      <c r="G102" t="s">
        <v>52</v>
      </c>
      <c r="H102" t="s">
        <v>52</v>
      </c>
      <c r="I102" t="s">
        <v>52</v>
      </c>
      <c r="J102" t="s">
        <v>52</v>
      </c>
      <c r="K102" t="s">
        <v>52</v>
      </c>
      <c r="L102" t="s">
        <v>154</v>
      </c>
      <c r="M102" t="s">
        <v>155</v>
      </c>
      <c r="N102" t="s">
        <v>156</v>
      </c>
      <c r="O102" s="209" t="s">
        <v>103</v>
      </c>
      <c r="P102" s="209" t="s">
        <v>103</v>
      </c>
      <c r="Q102" t="s">
        <v>51</v>
      </c>
      <c r="R102" t="s">
        <v>51</v>
      </c>
      <c r="S102" t="s">
        <v>51</v>
      </c>
      <c r="T102" t="s">
        <v>51</v>
      </c>
    </row>
    <row r="103" spans="1:20">
      <c r="A103" t="s">
        <v>94</v>
      </c>
      <c r="B103" t="s">
        <v>95</v>
      </c>
      <c r="C103" t="s">
        <v>49</v>
      </c>
      <c r="D103" t="s">
        <v>50</v>
      </c>
      <c r="E103" t="s">
        <v>51</v>
      </c>
      <c r="F103" t="s">
        <v>51</v>
      </c>
      <c r="G103" t="s">
        <v>52</v>
      </c>
      <c r="H103" t="s">
        <v>52</v>
      </c>
      <c r="I103" t="s">
        <v>52</v>
      </c>
      <c r="J103" t="s">
        <v>52</v>
      </c>
      <c r="K103" t="s">
        <v>52</v>
      </c>
      <c r="L103" t="s">
        <v>154</v>
      </c>
      <c r="M103" t="s">
        <v>155</v>
      </c>
      <c r="N103" t="s">
        <v>156</v>
      </c>
      <c r="O103" s="209" t="s">
        <v>103</v>
      </c>
      <c r="P103" s="209" t="s">
        <v>103</v>
      </c>
      <c r="Q103" t="s">
        <v>51</v>
      </c>
      <c r="R103" t="s">
        <v>51</v>
      </c>
      <c r="S103" t="s">
        <v>51</v>
      </c>
      <c r="T103" t="s">
        <v>51</v>
      </c>
    </row>
    <row r="104" spans="1:20">
      <c r="A104" t="s">
        <v>96</v>
      </c>
      <c r="B104" t="s">
        <v>97</v>
      </c>
      <c r="C104" t="s">
        <v>49</v>
      </c>
      <c r="D104" t="s">
        <v>50</v>
      </c>
      <c r="E104" t="s">
        <v>51</v>
      </c>
      <c r="F104" t="s">
        <v>51</v>
      </c>
      <c r="G104" t="s">
        <v>52</v>
      </c>
      <c r="H104" t="s">
        <v>52</v>
      </c>
      <c r="I104" t="s">
        <v>52</v>
      </c>
      <c r="J104" t="s">
        <v>52</v>
      </c>
      <c r="K104" t="s">
        <v>52</v>
      </c>
      <c r="L104" t="s">
        <v>154</v>
      </c>
      <c r="M104" t="s">
        <v>155</v>
      </c>
      <c r="N104" t="s">
        <v>156</v>
      </c>
      <c r="O104" s="209" t="s">
        <v>103</v>
      </c>
      <c r="P104" s="209" t="s">
        <v>103</v>
      </c>
      <c r="Q104" t="s">
        <v>51</v>
      </c>
      <c r="R104" t="s">
        <v>51</v>
      </c>
      <c r="S104" t="s">
        <v>51</v>
      </c>
      <c r="T104" t="s">
        <v>51</v>
      </c>
    </row>
    <row r="105" spans="1:20">
      <c r="A105" t="s">
        <v>98</v>
      </c>
      <c r="B105" t="s">
        <v>99</v>
      </c>
      <c r="C105" t="s">
        <v>49</v>
      </c>
      <c r="D105" t="s">
        <v>50</v>
      </c>
      <c r="E105" t="s">
        <v>51</v>
      </c>
      <c r="F105" t="s">
        <v>51</v>
      </c>
      <c r="G105" t="s">
        <v>52</v>
      </c>
      <c r="H105" t="s">
        <v>52</v>
      </c>
      <c r="I105" t="s">
        <v>52</v>
      </c>
      <c r="J105" t="s">
        <v>52</v>
      </c>
      <c r="K105" t="s">
        <v>52</v>
      </c>
      <c r="L105" t="s">
        <v>154</v>
      </c>
      <c r="M105" t="s">
        <v>155</v>
      </c>
      <c r="N105" t="s">
        <v>156</v>
      </c>
      <c r="O105" s="209" t="s">
        <v>103</v>
      </c>
      <c r="P105" s="209" t="s">
        <v>103</v>
      </c>
      <c r="Q105" t="s">
        <v>51</v>
      </c>
      <c r="R105" t="s">
        <v>51</v>
      </c>
      <c r="S105" t="s">
        <v>51</v>
      </c>
      <c r="T105" t="s">
        <v>51</v>
      </c>
    </row>
    <row r="106" spans="1:20">
      <c r="A106" t="s">
        <v>100</v>
      </c>
      <c r="B106" t="s">
        <v>101</v>
      </c>
      <c r="C106" t="s">
        <v>49</v>
      </c>
      <c r="D106" t="s">
        <v>50</v>
      </c>
      <c r="E106" t="s">
        <v>51</v>
      </c>
      <c r="F106" t="s">
        <v>51</v>
      </c>
      <c r="G106" t="s">
        <v>52</v>
      </c>
      <c r="H106" t="s">
        <v>52</v>
      </c>
      <c r="I106" t="s">
        <v>52</v>
      </c>
      <c r="J106" t="s">
        <v>52</v>
      </c>
      <c r="K106" t="s">
        <v>52</v>
      </c>
      <c r="L106" t="s">
        <v>154</v>
      </c>
      <c r="M106" t="s">
        <v>155</v>
      </c>
      <c r="N106" t="s">
        <v>156</v>
      </c>
      <c r="O106" s="209" t="s">
        <v>103</v>
      </c>
      <c r="P106" s="209" t="s">
        <v>103</v>
      </c>
      <c r="Q106" t="s">
        <v>51</v>
      </c>
      <c r="R106" t="s">
        <v>51</v>
      </c>
      <c r="S106" t="s">
        <v>51</v>
      </c>
      <c r="T106" t="s">
        <v>51</v>
      </c>
    </row>
    <row r="107" spans="1:20">
      <c r="A107" t="s">
        <v>102</v>
      </c>
      <c r="B107" t="s">
        <v>103</v>
      </c>
      <c r="C107" t="s">
        <v>49</v>
      </c>
      <c r="D107" t="s">
        <v>50</v>
      </c>
      <c r="E107" t="s">
        <v>51</v>
      </c>
      <c r="F107" t="s">
        <v>51</v>
      </c>
      <c r="G107" t="s">
        <v>52</v>
      </c>
      <c r="H107" t="s">
        <v>52</v>
      </c>
      <c r="I107" t="s">
        <v>52</v>
      </c>
      <c r="J107" t="s">
        <v>52</v>
      </c>
      <c r="K107" t="s">
        <v>52</v>
      </c>
      <c r="L107" t="s">
        <v>154</v>
      </c>
      <c r="M107" t="s">
        <v>155</v>
      </c>
      <c r="N107" t="s">
        <v>156</v>
      </c>
      <c r="O107" s="209" t="s">
        <v>103</v>
      </c>
      <c r="P107" s="209" t="s">
        <v>103</v>
      </c>
      <c r="Q107" t="s">
        <v>51</v>
      </c>
      <c r="R107" t="s">
        <v>51</v>
      </c>
      <c r="S107" t="s">
        <v>51</v>
      </c>
      <c r="T107" t="s">
        <v>51</v>
      </c>
    </row>
    <row r="108" spans="1:20">
      <c r="A108" t="s">
        <v>104</v>
      </c>
      <c r="B108" t="s">
        <v>105</v>
      </c>
      <c r="C108" t="s">
        <v>49</v>
      </c>
      <c r="D108" t="s">
        <v>50</v>
      </c>
      <c r="E108" t="s">
        <v>51</v>
      </c>
      <c r="F108" t="s">
        <v>51</v>
      </c>
      <c r="G108" t="s">
        <v>52</v>
      </c>
      <c r="H108" t="s">
        <v>52</v>
      </c>
      <c r="I108" t="s">
        <v>52</v>
      </c>
      <c r="J108" t="s">
        <v>52</v>
      </c>
      <c r="K108" t="s">
        <v>52</v>
      </c>
      <c r="L108" t="s">
        <v>154</v>
      </c>
      <c r="M108" t="s">
        <v>155</v>
      </c>
      <c r="N108" t="s">
        <v>156</v>
      </c>
      <c r="O108" s="209" t="s">
        <v>103</v>
      </c>
      <c r="P108" s="209" t="s">
        <v>103</v>
      </c>
      <c r="Q108" t="s">
        <v>51</v>
      </c>
      <c r="R108" t="s">
        <v>51</v>
      </c>
      <c r="S108" t="s">
        <v>51</v>
      </c>
      <c r="T108" t="s">
        <v>51</v>
      </c>
    </row>
    <row r="109" spans="1:20">
      <c r="A109" t="s">
        <v>106</v>
      </c>
      <c r="B109" t="s">
        <v>107</v>
      </c>
      <c r="C109" t="s">
        <v>49</v>
      </c>
      <c r="D109" t="s">
        <v>50</v>
      </c>
      <c r="E109" t="s">
        <v>51</v>
      </c>
      <c r="F109" t="s">
        <v>51</v>
      </c>
      <c r="G109" t="s">
        <v>52</v>
      </c>
      <c r="H109" t="s">
        <v>52</v>
      </c>
      <c r="I109" t="s">
        <v>52</v>
      </c>
      <c r="J109" t="s">
        <v>52</v>
      </c>
      <c r="K109" t="s">
        <v>52</v>
      </c>
      <c r="L109" t="s">
        <v>154</v>
      </c>
      <c r="M109" t="s">
        <v>155</v>
      </c>
      <c r="N109" t="s">
        <v>156</v>
      </c>
      <c r="O109" s="209" t="s">
        <v>103</v>
      </c>
      <c r="P109" s="209" t="s">
        <v>103</v>
      </c>
      <c r="Q109" t="s">
        <v>51</v>
      </c>
      <c r="R109" t="s">
        <v>51</v>
      </c>
      <c r="S109" t="s">
        <v>51</v>
      </c>
      <c r="T109" t="s">
        <v>51</v>
      </c>
    </row>
    <row r="110" spans="1:20">
      <c r="A110" t="s">
        <v>108</v>
      </c>
      <c r="B110" t="s">
        <v>109</v>
      </c>
      <c r="C110" t="s">
        <v>49</v>
      </c>
      <c r="D110" t="s">
        <v>50</v>
      </c>
      <c r="E110" t="s">
        <v>51</v>
      </c>
      <c r="F110" t="s">
        <v>51</v>
      </c>
      <c r="G110" t="s">
        <v>52</v>
      </c>
      <c r="H110" t="s">
        <v>52</v>
      </c>
      <c r="I110" t="s">
        <v>52</v>
      </c>
      <c r="J110" t="s">
        <v>52</v>
      </c>
      <c r="K110" t="s">
        <v>52</v>
      </c>
      <c r="L110" t="s">
        <v>154</v>
      </c>
      <c r="M110" t="s">
        <v>155</v>
      </c>
      <c r="N110" t="s">
        <v>156</v>
      </c>
      <c r="O110" s="209" t="s">
        <v>103</v>
      </c>
      <c r="P110" s="209" t="s">
        <v>103</v>
      </c>
      <c r="Q110" t="s">
        <v>51</v>
      </c>
      <c r="R110" t="s">
        <v>51</v>
      </c>
      <c r="S110" t="s">
        <v>51</v>
      </c>
      <c r="T110" t="s">
        <v>51</v>
      </c>
    </row>
    <row r="111" spans="1:20">
      <c r="A111" t="s">
        <v>110</v>
      </c>
      <c r="B111" t="s">
        <v>111</v>
      </c>
      <c r="C111" t="s">
        <v>49</v>
      </c>
      <c r="D111" t="s">
        <v>50</v>
      </c>
      <c r="E111" t="s">
        <v>51</v>
      </c>
      <c r="F111" t="s">
        <v>51</v>
      </c>
      <c r="G111" t="s">
        <v>52</v>
      </c>
      <c r="H111" t="s">
        <v>52</v>
      </c>
      <c r="I111" t="s">
        <v>52</v>
      </c>
      <c r="J111" t="s">
        <v>52</v>
      </c>
      <c r="K111" t="s">
        <v>52</v>
      </c>
      <c r="L111" t="s">
        <v>154</v>
      </c>
      <c r="M111" t="s">
        <v>155</v>
      </c>
      <c r="N111" t="s">
        <v>156</v>
      </c>
      <c r="O111" s="209" t="s">
        <v>103</v>
      </c>
      <c r="P111" s="209" t="s">
        <v>103</v>
      </c>
      <c r="Q111" t="s">
        <v>51</v>
      </c>
      <c r="R111" t="s">
        <v>51</v>
      </c>
      <c r="S111" t="s">
        <v>51</v>
      </c>
      <c r="T111" t="s">
        <v>51</v>
      </c>
    </row>
    <row r="112" spans="1:20">
      <c r="A112" t="s">
        <v>112</v>
      </c>
      <c r="B112" t="s">
        <v>113</v>
      </c>
      <c r="C112" t="s">
        <v>49</v>
      </c>
      <c r="D112" t="s">
        <v>50</v>
      </c>
      <c r="E112" t="s">
        <v>51</v>
      </c>
      <c r="F112" t="s">
        <v>51</v>
      </c>
      <c r="G112" t="s">
        <v>52</v>
      </c>
      <c r="H112" t="s">
        <v>52</v>
      </c>
      <c r="I112" t="s">
        <v>52</v>
      </c>
      <c r="J112" t="s">
        <v>52</v>
      </c>
      <c r="K112" t="s">
        <v>52</v>
      </c>
      <c r="L112" t="s">
        <v>154</v>
      </c>
      <c r="M112" t="s">
        <v>155</v>
      </c>
      <c r="N112" t="s">
        <v>156</v>
      </c>
      <c r="O112" s="209" t="s">
        <v>103</v>
      </c>
      <c r="P112" s="209" t="s">
        <v>103</v>
      </c>
      <c r="Q112" t="s">
        <v>51</v>
      </c>
      <c r="R112" t="s">
        <v>51</v>
      </c>
      <c r="S112" t="s">
        <v>51</v>
      </c>
      <c r="T112" t="s">
        <v>51</v>
      </c>
    </row>
    <row r="113" spans="1:20">
      <c r="A113" t="s">
        <v>114</v>
      </c>
      <c r="B113" t="s">
        <v>115</v>
      </c>
      <c r="C113" t="s">
        <v>49</v>
      </c>
      <c r="D113" t="s">
        <v>50</v>
      </c>
      <c r="E113" t="s">
        <v>51</v>
      </c>
      <c r="F113" t="s">
        <v>51</v>
      </c>
      <c r="G113" t="s">
        <v>52</v>
      </c>
      <c r="H113" t="s">
        <v>52</v>
      </c>
      <c r="I113" t="s">
        <v>52</v>
      </c>
      <c r="J113" t="s">
        <v>52</v>
      </c>
      <c r="K113" t="s">
        <v>52</v>
      </c>
      <c r="L113" t="s">
        <v>154</v>
      </c>
      <c r="M113" t="s">
        <v>155</v>
      </c>
      <c r="N113" t="s">
        <v>156</v>
      </c>
      <c r="O113" s="209" t="s">
        <v>103</v>
      </c>
      <c r="P113" s="209" t="s">
        <v>103</v>
      </c>
      <c r="Q113" t="s">
        <v>51</v>
      </c>
      <c r="R113" t="s">
        <v>51</v>
      </c>
      <c r="S113" t="s">
        <v>51</v>
      </c>
      <c r="T113" t="s">
        <v>51</v>
      </c>
    </row>
    <row r="114" spans="1:20">
      <c r="A114" t="s">
        <v>116</v>
      </c>
      <c r="B114" t="s">
        <v>117</v>
      </c>
      <c r="C114" t="s">
        <v>49</v>
      </c>
      <c r="D114" t="s">
        <v>50</v>
      </c>
      <c r="E114" t="s">
        <v>51</v>
      </c>
      <c r="F114" t="s">
        <v>51</v>
      </c>
      <c r="G114" t="s">
        <v>52</v>
      </c>
      <c r="H114" t="s">
        <v>52</v>
      </c>
      <c r="I114" t="s">
        <v>52</v>
      </c>
      <c r="J114" t="s">
        <v>52</v>
      </c>
      <c r="K114" t="s">
        <v>52</v>
      </c>
      <c r="L114" t="s">
        <v>154</v>
      </c>
      <c r="M114" t="s">
        <v>155</v>
      </c>
      <c r="N114" t="s">
        <v>156</v>
      </c>
      <c r="O114" s="209" t="s">
        <v>103</v>
      </c>
      <c r="P114" s="209" t="s">
        <v>103</v>
      </c>
      <c r="Q114" t="s">
        <v>51</v>
      </c>
      <c r="R114" t="s">
        <v>51</v>
      </c>
      <c r="S114" t="s">
        <v>51</v>
      </c>
      <c r="T114" t="s">
        <v>51</v>
      </c>
    </row>
    <row r="115" spans="1:20">
      <c r="A115" t="s">
        <v>118</v>
      </c>
      <c r="B115" t="s">
        <v>119</v>
      </c>
      <c r="C115" t="s">
        <v>49</v>
      </c>
      <c r="D115" t="s">
        <v>50</v>
      </c>
      <c r="E115" t="s">
        <v>51</v>
      </c>
      <c r="F115" t="s">
        <v>51</v>
      </c>
      <c r="G115" t="s">
        <v>52</v>
      </c>
      <c r="H115" t="s">
        <v>52</v>
      </c>
      <c r="I115" t="s">
        <v>52</v>
      </c>
      <c r="J115" t="s">
        <v>52</v>
      </c>
      <c r="K115" t="s">
        <v>52</v>
      </c>
      <c r="L115" t="s">
        <v>154</v>
      </c>
      <c r="M115" t="s">
        <v>155</v>
      </c>
      <c r="N115" t="s">
        <v>156</v>
      </c>
      <c r="O115" s="209" t="s">
        <v>103</v>
      </c>
      <c r="P115" s="209" t="s">
        <v>103</v>
      </c>
      <c r="Q115" t="s">
        <v>51</v>
      </c>
      <c r="R115" t="s">
        <v>51</v>
      </c>
      <c r="S115" t="s">
        <v>51</v>
      </c>
      <c r="T115" t="s">
        <v>51</v>
      </c>
    </row>
    <row r="116" spans="1:20">
      <c r="A116" t="s">
        <v>120</v>
      </c>
      <c r="B116" t="s">
        <v>121</v>
      </c>
      <c r="C116" t="s">
        <v>49</v>
      </c>
      <c r="D116" t="s">
        <v>50</v>
      </c>
      <c r="E116" t="s">
        <v>51</v>
      </c>
      <c r="F116" t="s">
        <v>51</v>
      </c>
      <c r="G116" t="s">
        <v>52</v>
      </c>
      <c r="H116" t="s">
        <v>52</v>
      </c>
      <c r="I116" t="s">
        <v>52</v>
      </c>
      <c r="J116" t="s">
        <v>52</v>
      </c>
      <c r="K116" t="s">
        <v>52</v>
      </c>
      <c r="L116" t="s">
        <v>154</v>
      </c>
      <c r="M116" t="s">
        <v>155</v>
      </c>
      <c r="N116" t="s">
        <v>156</v>
      </c>
      <c r="O116" s="209" t="s">
        <v>103</v>
      </c>
      <c r="P116" s="209" t="s">
        <v>103</v>
      </c>
      <c r="Q116" t="s">
        <v>51</v>
      </c>
      <c r="R116" t="s">
        <v>51</v>
      </c>
      <c r="S116" t="s">
        <v>51</v>
      </c>
      <c r="T116" t="s">
        <v>51</v>
      </c>
    </row>
    <row r="117" spans="1:20">
      <c r="A117" t="s">
        <v>122</v>
      </c>
      <c r="B117" t="s">
        <v>123</v>
      </c>
      <c r="C117" t="s">
        <v>49</v>
      </c>
      <c r="D117" t="s">
        <v>50</v>
      </c>
      <c r="E117" t="s">
        <v>51</v>
      </c>
      <c r="F117" t="s">
        <v>51</v>
      </c>
      <c r="G117" t="s">
        <v>52</v>
      </c>
      <c r="H117" t="s">
        <v>52</v>
      </c>
      <c r="I117" t="s">
        <v>52</v>
      </c>
      <c r="J117" t="s">
        <v>52</v>
      </c>
      <c r="K117" t="s">
        <v>52</v>
      </c>
      <c r="L117" t="s">
        <v>154</v>
      </c>
      <c r="M117" t="s">
        <v>155</v>
      </c>
      <c r="N117" t="s">
        <v>156</v>
      </c>
      <c r="O117" s="209" t="s">
        <v>103</v>
      </c>
      <c r="P117" s="209" t="s">
        <v>103</v>
      </c>
      <c r="Q117" t="s">
        <v>51</v>
      </c>
      <c r="R117" t="s">
        <v>51</v>
      </c>
      <c r="S117" t="s">
        <v>51</v>
      </c>
      <c r="T117" t="s">
        <v>51</v>
      </c>
    </row>
    <row r="118" spans="1:20">
      <c r="A118" t="s">
        <v>124</v>
      </c>
      <c r="B118" t="s">
        <v>125</v>
      </c>
      <c r="C118" t="s">
        <v>49</v>
      </c>
      <c r="D118" t="s">
        <v>50</v>
      </c>
      <c r="E118" t="s">
        <v>51</v>
      </c>
      <c r="F118" t="s">
        <v>51</v>
      </c>
      <c r="G118" t="s">
        <v>52</v>
      </c>
      <c r="H118" t="s">
        <v>52</v>
      </c>
      <c r="I118" t="s">
        <v>52</v>
      </c>
      <c r="J118" t="s">
        <v>52</v>
      </c>
      <c r="K118" t="s">
        <v>52</v>
      </c>
      <c r="L118" t="s">
        <v>154</v>
      </c>
      <c r="M118" t="s">
        <v>155</v>
      </c>
      <c r="N118" t="s">
        <v>156</v>
      </c>
      <c r="O118" s="209" t="s">
        <v>103</v>
      </c>
      <c r="P118" s="209" t="s">
        <v>103</v>
      </c>
      <c r="Q118" t="s">
        <v>51</v>
      </c>
      <c r="R118" t="s">
        <v>51</v>
      </c>
      <c r="S118" t="s">
        <v>51</v>
      </c>
      <c r="T118" t="s">
        <v>51</v>
      </c>
    </row>
    <row r="119" spans="1:20">
      <c r="A119" t="s">
        <v>126</v>
      </c>
      <c r="B119" t="s">
        <v>127</v>
      </c>
      <c r="C119" t="s">
        <v>49</v>
      </c>
      <c r="D119" t="s">
        <v>50</v>
      </c>
      <c r="E119" t="s">
        <v>51</v>
      </c>
      <c r="F119" t="s">
        <v>51</v>
      </c>
      <c r="G119" t="s">
        <v>52</v>
      </c>
      <c r="H119" t="s">
        <v>52</v>
      </c>
      <c r="I119" t="s">
        <v>52</v>
      </c>
      <c r="J119" t="s">
        <v>52</v>
      </c>
      <c r="K119" t="s">
        <v>52</v>
      </c>
      <c r="L119" t="s">
        <v>154</v>
      </c>
      <c r="M119" t="s">
        <v>155</v>
      </c>
      <c r="N119" t="s">
        <v>156</v>
      </c>
      <c r="O119" s="209" t="s">
        <v>103</v>
      </c>
      <c r="P119" s="209" t="s">
        <v>103</v>
      </c>
      <c r="Q119" t="s">
        <v>51</v>
      </c>
      <c r="R119" t="s">
        <v>51</v>
      </c>
      <c r="S119" t="s">
        <v>51</v>
      </c>
      <c r="T119" t="s">
        <v>51</v>
      </c>
    </row>
    <row r="120" spans="1:20">
      <c r="A120" t="s">
        <v>128</v>
      </c>
      <c r="B120" t="s">
        <v>129</v>
      </c>
      <c r="C120" t="s">
        <v>49</v>
      </c>
      <c r="D120" t="s">
        <v>50</v>
      </c>
      <c r="E120" t="s">
        <v>51</v>
      </c>
      <c r="F120" t="s">
        <v>51</v>
      </c>
      <c r="G120" t="s">
        <v>52</v>
      </c>
      <c r="H120" t="s">
        <v>52</v>
      </c>
      <c r="I120" t="s">
        <v>52</v>
      </c>
      <c r="J120" t="s">
        <v>52</v>
      </c>
      <c r="K120" t="s">
        <v>52</v>
      </c>
      <c r="L120" t="s">
        <v>154</v>
      </c>
      <c r="M120" t="s">
        <v>155</v>
      </c>
      <c r="N120" t="s">
        <v>156</v>
      </c>
      <c r="O120" s="209" t="s">
        <v>103</v>
      </c>
      <c r="P120" s="209" t="s">
        <v>103</v>
      </c>
      <c r="Q120" t="s">
        <v>51</v>
      </c>
      <c r="R120" t="s">
        <v>51</v>
      </c>
      <c r="S120" t="s">
        <v>51</v>
      </c>
      <c r="T120" t="s">
        <v>51</v>
      </c>
    </row>
    <row r="121" spans="1:20">
      <c r="A121" t="s">
        <v>130</v>
      </c>
      <c r="B121" t="s">
        <v>131</v>
      </c>
      <c r="C121" t="s">
        <v>49</v>
      </c>
      <c r="D121" t="s">
        <v>50</v>
      </c>
      <c r="E121" t="s">
        <v>51</v>
      </c>
      <c r="F121" t="s">
        <v>51</v>
      </c>
      <c r="G121" t="s">
        <v>52</v>
      </c>
      <c r="H121" t="s">
        <v>52</v>
      </c>
      <c r="I121" t="s">
        <v>52</v>
      </c>
      <c r="J121" t="s">
        <v>52</v>
      </c>
      <c r="K121" t="s">
        <v>52</v>
      </c>
      <c r="L121" t="s">
        <v>154</v>
      </c>
      <c r="M121" t="s">
        <v>155</v>
      </c>
      <c r="N121" t="s">
        <v>156</v>
      </c>
      <c r="O121" s="209" t="s">
        <v>103</v>
      </c>
      <c r="P121" s="209" t="s">
        <v>103</v>
      </c>
      <c r="Q121" t="s">
        <v>51</v>
      </c>
      <c r="R121" t="s">
        <v>51</v>
      </c>
      <c r="S121" t="s">
        <v>51</v>
      </c>
      <c r="T121" t="s">
        <v>51</v>
      </c>
    </row>
    <row r="122" spans="1:20">
      <c r="A122" t="s">
        <v>132</v>
      </c>
      <c r="B122" t="s">
        <v>133</v>
      </c>
      <c r="C122" t="s">
        <v>49</v>
      </c>
      <c r="D122" t="s">
        <v>50</v>
      </c>
      <c r="E122" t="s">
        <v>51</v>
      </c>
      <c r="F122" t="s">
        <v>51</v>
      </c>
      <c r="G122" t="s">
        <v>52</v>
      </c>
      <c r="H122" t="s">
        <v>52</v>
      </c>
      <c r="I122" t="s">
        <v>52</v>
      </c>
      <c r="J122" t="s">
        <v>52</v>
      </c>
      <c r="K122" t="s">
        <v>52</v>
      </c>
      <c r="L122" t="s">
        <v>154</v>
      </c>
      <c r="M122" t="s">
        <v>155</v>
      </c>
      <c r="N122" t="s">
        <v>156</v>
      </c>
      <c r="O122" s="209" t="s">
        <v>103</v>
      </c>
      <c r="P122" s="209" t="s">
        <v>103</v>
      </c>
      <c r="Q122" t="s">
        <v>51</v>
      </c>
      <c r="R122" t="s">
        <v>51</v>
      </c>
      <c r="S122" t="s">
        <v>51</v>
      </c>
      <c r="T122" t="s">
        <v>51</v>
      </c>
    </row>
    <row r="123" spans="1:20">
      <c r="A123" t="s">
        <v>134</v>
      </c>
      <c r="B123" t="s">
        <v>135</v>
      </c>
      <c r="C123" t="s">
        <v>49</v>
      </c>
      <c r="D123" t="s">
        <v>50</v>
      </c>
      <c r="E123" t="s">
        <v>51</v>
      </c>
      <c r="F123" t="s">
        <v>51</v>
      </c>
      <c r="G123" t="s">
        <v>52</v>
      </c>
      <c r="H123" t="s">
        <v>52</v>
      </c>
      <c r="I123" t="s">
        <v>52</v>
      </c>
      <c r="J123" t="s">
        <v>52</v>
      </c>
      <c r="K123" t="s">
        <v>52</v>
      </c>
      <c r="L123" t="s">
        <v>154</v>
      </c>
      <c r="M123" t="s">
        <v>155</v>
      </c>
      <c r="N123" t="s">
        <v>156</v>
      </c>
      <c r="O123" s="209" t="s">
        <v>103</v>
      </c>
      <c r="P123" s="209" t="s">
        <v>103</v>
      </c>
      <c r="Q123" t="s">
        <v>51</v>
      </c>
      <c r="R123" t="s">
        <v>51</v>
      </c>
      <c r="S123" t="s">
        <v>51</v>
      </c>
      <c r="T123" t="s">
        <v>51</v>
      </c>
    </row>
    <row r="124" spans="1:20">
      <c r="A124" t="s">
        <v>136</v>
      </c>
      <c r="B124" t="s">
        <v>137</v>
      </c>
      <c r="C124" t="s">
        <v>49</v>
      </c>
      <c r="D124" t="s">
        <v>50</v>
      </c>
      <c r="E124" t="s">
        <v>51</v>
      </c>
      <c r="F124" t="s">
        <v>51</v>
      </c>
      <c r="G124" t="s">
        <v>52</v>
      </c>
      <c r="H124" t="s">
        <v>52</v>
      </c>
      <c r="I124" t="s">
        <v>52</v>
      </c>
      <c r="J124" t="s">
        <v>52</v>
      </c>
      <c r="K124" t="s">
        <v>52</v>
      </c>
      <c r="L124" t="s">
        <v>154</v>
      </c>
      <c r="M124" t="s">
        <v>155</v>
      </c>
      <c r="N124" t="s">
        <v>156</v>
      </c>
      <c r="O124" s="209" t="s">
        <v>103</v>
      </c>
      <c r="P124" s="209" t="s">
        <v>103</v>
      </c>
      <c r="Q124" t="s">
        <v>51</v>
      </c>
      <c r="R124" t="s">
        <v>51</v>
      </c>
      <c r="S124" t="s">
        <v>51</v>
      </c>
      <c r="T124" t="s">
        <v>51</v>
      </c>
    </row>
    <row r="125" spans="1:20">
      <c r="A125" t="s">
        <v>138</v>
      </c>
      <c r="B125" t="s">
        <v>139</v>
      </c>
      <c r="C125" t="s">
        <v>49</v>
      </c>
      <c r="D125" t="s">
        <v>50</v>
      </c>
      <c r="E125" t="s">
        <v>51</v>
      </c>
      <c r="F125" t="s">
        <v>51</v>
      </c>
      <c r="G125" t="s">
        <v>52</v>
      </c>
      <c r="H125" t="s">
        <v>52</v>
      </c>
      <c r="I125" t="s">
        <v>52</v>
      </c>
      <c r="J125" t="s">
        <v>52</v>
      </c>
      <c r="K125" t="s">
        <v>52</v>
      </c>
      <c r="L125" t="s">
        <v>154</v>
      </c>
      <c r="M125" t="s">
        <v>155</v>
      </c>
      <c r="N125" t="s">
        <v>156</v>
      </c>
      <c r="O125" s="209" t="s">
        <v>103</v>
      </c>
      <c r="P125" s="209" t="s">
        <v>103</v>
      </c>
      <c r="Q125" t="s">
        <v>51</v>
      </c>
      <c r="R125" t="s">
        <v>51</v>
      </c>
      <c r="S125" t="s">
        <v>51</v>
      </c>
      <c r="T125" t="s">
        <v>51</v>
      </c>
    </row>
    <row r="126" spans="1:20">
      <c r="A126" t="s">
        <v>140</v>
      </c>
      <c r="B126" t="s">
        <v>141</v>
      </c>
      <c r="C126" t="s">
        <v>49</v>
      </c>
      <c r="D126" t="s">
        <v>50</v>
      </c>
      <c r="E126" t="s">
        <v>51</v>
      </c>
      <c r="F126" t="s">
        <v>51</v>
      </c>
      <c r="G126" t="s">
        <v>52</v>
      </c>
      <c r="H126" t="s">
        <v>52</v>
      </c>
      <c r="I126" t="s">
        <v>52</v>
      </c>
      <c r="J126" t="s">
        <v>52</v>
      </c>
      <c r="K126" t="s">
        <v>52</v>
      </c>
      <c r="L126" t="s">
        <v>154</v>
      </c>
      <c r="M126" t="s">
        <v>155</v>
      </c>
      <c r="N126" t="s">
        <v>156</v>
      </c>
      <c r="O126" s="209" t="s">
        <v>103</v>
      </c>
      <c r="P126" s="209" t="s">
        <v>103</v>
      </c>
      <c r="Q126" t="s">
        <v>51</v>
      </c>
      <c r="R126" t="s">
        <v>51</v>
      </c>
      <c r="S126" t="s">
        <v>51</v>
      </c>
      <c r="T126" t="s">
        <v>51</v>
      </c>
    </row>
    <row r="127" spans="1:20">
      <c r="A127" t="s">
        <v>142</v>
      </c>
      <c r="B127" t="s">
        <v>143</v>
      </c>
      <c r="C127" t="s">
        <v>49</v>
      </c>
      <c r="D127" t="s">
        <v>50</v>
      </c>
      <c r="E127" t="s">
        <v>51</v>
      </c>
      <c r="F127" t="s">
        <v>51</v>
      </c>
      <c r="G127" t="s">
        <v>52</v>
      </c>
      <c r="H127" t="s">
        <v>52</v>
      </c>
      <c r="I127" t="s">
        <v>52</v>
      </c>
      <c r="J127" t="s">
        <v>52</v>
      </c>
      <c r="K127" t="s">
        <v>52</v>
      </c>
      <c r="L127" t="s">
        <v>154</v>
      </c>
      <c r="M127" t="s">
        <v>155</v>
      </c>
      <c r="N127" t="s">
        <v>156</v>
      </c>
      <c r="O127" s="209" t="s">
        <v>103</v>
      </c>
      <c r="P127" s="209" t="s">
        <v>103</v>
      </c>
      <c r="Q127" t="s">
        <v>51</v>
      </c>
      <c r="R127" t="s">
        <v>51</v>
      </c>
      <c r="S127" t="s">
        <v>51</v>
      </c>
      <c r="T127" t="s">
        <v>51</v>
      </c>
    </row>
    <row r="128" spans="1:20">
      <c r="A128" t="s">
        <v>144</v>
      </c>
      <c r="B128" t="s">
        <v>145</v>
      </c>
      <c r="C128" t="s">
        <v>49</v>
      </c>
      <c r="D128" t="s">
        <v>50</v>
      </c>
      <c r="E128" t="s">
        <v>51</v>
      </c>
      <c r="F128" t="s">
        <v>51</v>
      </c>
      <c r="G128" t="s">
        <v>52</v>
      </c>
      <c r="H128" t="s">
        <v>52</v>
      </c>
      <c r="I128" t="s">
        <v>52</v>
      </c>
      <c r="J128" t="s">
        <v>52</v>
      </c>
      <c r="K128" t="s">
        <v>52</v>
      </c>
      <c r="L128" t="s">
        <v>154</v>
      </c>
      <c r="M128" t="s">
        <v>155</v>
      </c>
      <c r="N128" t="s">
        <v>156</v>
      </c>
      <c r="O128" s="209" t="s">
        <v>103</v>
      </c>
      <c r="P128" s="209" t="s">
        <v>103</v>
      </c>
      <c r="Q128" t="s">
        <v>51</v>
      </c>
      <c r="R128" t="s">
        <v>51</v>
      </c>
      <c r="S128" t="s">
        <v>51</v>
      </c>
      <c r="T128" t="s">
        <v>51</v>
      </c>
    </row>
    <row r="129" spans="1:20">
      <c r="A129" t="s">
        <v>146</v>
      </c>
      <c r="B129" t="s">
        <v>147</v>
      </c>
      <c r="C129" t="s">
        <v>49</v>
      </c>
      <c r="D129" t="s">
        <v>50</v>
      </c>
      <c r="E129" t="s">
        <v>51</v>
      </c>
      <c r="F129" t="s">
        <v>51</v>
      </c>
      <c r="G129" t="s">
        <v>52</v>
      </c>
      <c r="H129" t="s">
        <v>52</v>
      </c>
      <c r="I129" t="s">
        <v>52</v>
      </c>
      <c r="J129" t="s">
        <v>52</v>
      </c>
      <c r="K129" t="s">
        <v>52</v>
      </c>
      <c r="L129" t="s">
        <v>154</v>
      </c>
      <c r="M129" t="s">
        <v>155</v>
      </c>
      <c r="N129" t="s">
        <v>156</v>
      </c>
      <c r="O129" s="209" t="s">
        <v>103</v>
      </c>
      <c r="P129" s="209" t="s">
        <v>103</v>
      </c>
      <c r="Q129" t="s">
        <v>51</v>
      </c>
      <c r="R129" t="s">
        <v>51</v>
      </c>
      <c r="S129" t="s">
        <v>51</v>
      </c>
      <c r="T129" t="s">
        <v>51</v>
      </c>
    </row>
    <row r="130" spans="1:20">
      <c r="A130" t="s">
        <v>148</v>
      </c>
      <c r="B130" t="s">
        <v>149</v>
      </c>
      <c r="C130" t="s">
        <v>49</v>
      </c>
      <c r="D130" t="s">
        <v>50</v>
      </c>
      <c r="E130" t="s">
        <v>51</v>
      </c>
      <c r="F130" t="s">
        <v>51</v>
      </c>
      <c r="G130" t="s">
        <v>52</v>
      </c>
      <c r="H130" t="s">
        <v>52</v>
      </c>
      <c r="I130" t="s">
        <v>52</v>
      </c>
      <c r="J130" t="s">
        <v>52</v>
      </c>
      <c r="K130" t="s">
        <v>52</v>
      </c>
      <c r="L130" t="s">
        <v>154</v>
      </c>
      <c r="M130" t="s">
        <v>155</v>
      </c>
      <c r="N130" t="s">
        <v>156</v>
      </c>
      <c r="O130" s="209" t="s">
        <v>103</v>
      </c>
      <c r="P130" s="209" t="s">
        <v>103</v>
      </c>
      <c r="Q130" t="s">
        <v>51</v>
      </c>
      <c r="R130" t="s">
        <v>51</v>
      </c>
      <c r="S130" t="s">
        <v>51</v>
      </c>
      <c r="T130" t="s">
        <v>51</v>
      </c>
    </row>
    <row r="131" spans="1:20">
      <c r="A131" t="s">
        <v>150</v>
      </c>
      <c r="B131" t="s">
        <v>151</v>
      </c>
      <c r="C131" t="s">
        <v>49</v>
      </c>
      <c r="D131" t="s">
        <v>50</v>
      </c>
      <c r="E131" t="s">
        <v>51</v>
      </c>
      <c r="F131" t="s">
        <v>51</v>
      </c>
      <c r="G131" t="s">
        <v>52</v>
      </c>
      <c r="H131" t="s">
        <v>52</v>
      </c>
      <c r="I131" t="s">
        <v>52</v>
      </c>
      <c r="J131" t="s">
        <v>52</v>
      </c>
      <c r="K131" t="s">
        <v>52</v>
      </c>
      <c r="L131" t="s">
        <v>154</v>
      </c>
      <c r="M131" t="s">
        <v>155</v>
      </c>
      <c r="N131" t="s">
        <v>156</v>
      </c>
      <c r="O131" s="209" t="s">
        <v>103</v>
      </c>
      <c r="P131" s="209" t="s">
        <v>103</v>
      </c>
      <c r="Q131" t="s">
        <v>51</v>
      </c>
      <c r="R131" t="s">
        <v>51</v>
      </c>
      <c r="S131" t="s">
        <v>51</v>
      </c>
      <c r="T131" t="s">
        <v>51</v>
      </c>
    </row>
    <row r="132" spans="1:20">
      <c r="A132" t="s">
        <v>152</v>
      </c>
      <c r="B132" t="s">
        <v>153</v>
      </c>
      <c r="C132" t="s">
        <v>49</v>
      </c>
      <c r="D132" t="s">
        <v>50</v>
      </c>
      <c r="E132" t="s">
        <v>51</v>
      </c>
      <c r="F132" t="s">
        <v>51</v>
      </c>
      <c r="G132" t="s">
        <v>52</v>
      </c>
      <c r="H132" t="s">
        <v>52</v>
      </c>
      <c r="I132" t="s">
        <v>52</v>
      </c>
      <c r="J132" t="s">
        <v>52</v>
      </c>
      <c r="K132" t="s">
        <v>52</v>
      </c>
      <c r="L132" t="s">
        <v>154</v>
      </c>
      <c r="M132" t="s">
        <v>155</v>
      </c>
      <c r="N132" t="s">
        <v>156</v>
      </c>
      <c r="O132" s="209" t="s">
        <v>103</v>
      </c>
      <c r="P132" s="209" t="s">
        <v>103</v>
      </c>
      <c r="Q132" t="s">
        <v>51</v>
      </c>
      <c r="R132" t="s">
        <v>51</v>
      </c>
      <c r="S132" t="s">
        <v>51</v>
      </c>
      <c r="T132" t="s">
        <v>51</v>
      </c>
    </row>
    <row r="133" spans="1:20">
      <c r="A133" t="s">
        <v>47</v>
      </c>
      <c r="B133" t="s">
        <v>48</v>
      </c>
      <c r="C133" t="s">
        <v>49</v>
      </c>
      <c r="D133" t="s">
        <v>50</v>
      </c>
      <c r="E133" t="s">
        <v>51</v>
      </c>
      <c r="F133" t="s">
        <v>51</v>
      </c>
      <c r="G133" t="s">
        <v>52</v>
      </c>
      <c r="H133" t="s">
        <v>52</v>
      </c>
      <c r="I133" t="s">
        <v>52</v>
      </c>
      <c r="J133" t="s">
        <v>52</v>
      </c>
      <c r="K133" t="s">
        <v>52</v>
      </c>
      <c r="L133" t="s">
        <v>157</v>
      </c>
      <c r="M133" t="s">
        <v>554</v>
      </c>
      <c r="N133" t="s">
        <v>156</v>
      </c>
      <c r="O133" s="209" t="s">
        <v>139</v>
      </c>
      <c r="P133" s="209" t="s">
        <v>139</v>
      </c>
      <c r="Q133" t="s">
        <v>51</v>
      </c>
      <c r="R133" t="s">
        <v>51</v>
      </c>
      <c r="S133" t="s">
        <v>51</v>
      </c>
      <c r="T133" t="s">
        <v>51</v>
      </c>
    </row>
    <row r="134" spans="1:20">
      <c r="A134" t="s">
        <v>57</v>
      </c>
      <c r="B134" t="s">
        <v>58</v>
      </c>
      <c r="C134" t="s">
        <v>49</v>
      </c>
      <c r="D134" t="s">
        <v>50</v>
      </c>
      <c r="E134" t="s">
        <v>51</v>
      </c>
      <c r="F134" t="s">
        <v>51</v>
      </c>
      <c r="G134" t="s">
        <v>52</v>
      </c>
      <c r="H134" t="s">
        <v>52</v>
      </c>
      <c r="I134" t="s">
        <v>52</v>
      </c>
      <c r="J134" t="s">
        <v>52</v>
      </c>
      <c r="K134" t="s">
        <v>52</v>
      </c>
      <c r="L134" t="s">
        <v>157</v>
      </c>
      <c r="M134" t="s">
        <v>554</v>
      </c>
      <c r="N134" t="s">
        <v>156</v>
      </c>
      <c r="O134" s="209" t="s">
        <v>139</v>
      </c>
      <c r="P134" s="209" t="s">
        <v>139</v>
      </c>
      <c r="Q134" t="s">
        <v>51</v>
      </c>
      <c r="R134" t="s">
        <v>51</v>
      </c>
      <c r="S134" t="s">
        <v>51</v>
      </c>
      <c r="T134" t="s">
        <v>51</v>
      </c>
    </row>
    <row r="135" spans="1:20">
      <c r="A135" t="s">
        <v>59</v>
      </c>
      <c r="B135" t="s">
        <v>60</v>
      </c>
      <c r="C135" t="s">
        <v>49</v>
      </c>
      <c r="D135" t="s">
        <v>50</v>
      </c>
      <c r="E135" t="s">
        <v>51</v>
      </c>
      <c r="F135" t="s">
        <v>51</v>
      </c>
      <c r="G135" t="s">
        <v>52</v>
      </c>
      <c r="H135" t="s">
        <v>52</v>
      </c>
      <c r="I135" t="s">
        <v>52</v>
      </c>
      <c r="J135" t="s">
        <v>52</v>
      </c>
      <c r="K135" t="s">
        <v>52</v>
      </c>
      <c r="L135" t="s">
        <v>157</v>
      </c>
      <c r="M135" t="s">
        <v>554</v>
      </c>
      <c r="N135" t="s">
        <v>156</v>
      </c>
      <c r="O135" s="209" t="s">
        <v>139</v>
      </c>
      <c r="P135" s="209" t="s">
        <v>139</v>
      </c>
      <c r="Q135" t="s">
        <v>51</v>
      </c>
      <c r="R135" t="s">
        <v>51</v>
      </c>
      <c r="S135" t="s">
        <v>51</v>
      </c>
      <c r="T135" t="s">
        <v>51</v>
      </c>
    </row>
    <row r="136" spans="1:20">
      <c r="A136" t="s">
        <v>61</v>
      </c>
      <c r="B136" t="s">
        <v>62</v>
      </c>
      <c r="C136" t="s">
        <v>49</v>
      </c>
      <c r="D136" t="s">
        <v>50</v>
      </c>
      <c r="E136" t="s">
        <v>51</v>
      </c>
      <c r="F136" t="s">
        <v>51</v>
      </c>
      <c r="G136" t="s">
        <v>52</v>
      </c>
      <c r="H136" t="s">
        <v>52</v>
      </c>
      <c r="I136" t="s">
        <v>52</v>
      </c>
      <c r="J136" t="s">
        <v>52</v>
      </c>
      <c r="K136" t="s">
        <v>52</v>
      </c>
      <c r="L136" t="s">
        <v>157</v>
      </c>
      <c r="M136" t="s">
        <v>554</v>
      </c>
      <c r="N136" t="s">
        <v>156</v>
      </c>
      <c r="O136" s="209" t="s">
        <v>139</v>
      </c>
      <c r="P136" s="209" t="s">
        <v>139</v>
      </c>
      <c r="Q136" t="s">
        <v>51</v>
      </c>
      <c r="R136" t="s">
        <v>51</v>
      </c>
      <c r="S136" t="s">
        <v>51</v>
      </c>
      <c r="T136" t="s">
        <v>51</v>
      </c>
    </row>
    <row r="137" spans="1:20">
      <c r="A137" t="s">
        <v>63</v>
      </c>
      <c r="B137" t="s">
        <v>56</v>
      </c>
      <c r="C137" t="s">
        <v>49</v>
      </c>
      <c r="D137" t="s">
        <v>50</v>
      </c>
      <c r="E137" t="s">
        <v>51</v>
      </c>
      <c r="F137" t="s">
        <v>51</v>
      </c>
      <c r="G137" t="s">
        <v>52</v>
      </c>
      <c r="H137" t="s">
        <v>52</v>
      </c>
      <c r="I137" t="s">
        <v>52</v>
      </c>
      <c r="J137" t="s">
        <v>52</v>
      </c>
      <c r="K137" t="s">
        <v>52</v>
      </c>
      <c r="L137" t="s">
        <v>157</v>
      </c>
      <c r="M137" t="s">
        <v>554</v>
      </c>
      <c r="N137" t="s">
        <v>156</v>
      </c>
      <c r="O137" s="209" t="s">
        <v>139</v>
      </c>
      <c r="P137" s="209" t="s">
        <v>139</v>
      </c>
      <c r="Q137" t="s">
        <v>51</v>
      </c>
      <c r="R137" t="s">
        <v>51</v>
      </c>
      <c r="S137" t="s">
        <v>51</v>
      </c>
      <c r="T137" t="s">
        <v>51</v>
      </c>
    </row>
    <row r="138" spans="1:20">
      <c r="A138" t="s">
        <v>64</v>
      </c>
      <c r="B138" t="s">
        <v>65</v>
      </c>
      <c r="C138" t="s">
        <v>49</v>
      </c>
      <c r="D138" t="s">
        <v>50</v>
      </c>
      <c r="E138" t="s">
        <v>51</v>
      </c>
      <c r="F138" t="s">
        <v>51</v>
      </c>
      <c r="G138" t="s">
        <v>52</v>
      </c>
      <c r="H138" t="s">
        <v>52</v>
      </c>
      <c r="I138" t="s">
        <v>52</v>
      </c>
      <c r="J138" t="s">
        <v>52</v>
      </c>
      <c r="K138" t="s">
        <v>52</v>
      </c>
      <c r="L138" t="s">
        <v>157</v>
      </c>
      <c r="M138" t="s">
        <v>554</v>
      </c>
      <c r="N138" t="s">
        <v>156</v>
      </c>
      <c r="O138" s="209" t="s">
        <v>139</v>
      </c>
      <c r="P138" s="209" t="s">
        <v>139</v>
      </c>
      <c r="Q138" t="s">
        <v>51</v>
      </c>
      <c r="R138" t="s">
        <v>51</v>
      </c>
      <c r="S138" t="s">
        <v>51</v>
      </c>
      <c r="T138" t="s">
        <v>51</v>
      </c>
    </row>
    <row r="139" spans="1:20">
      <c r="A139" t="s">
        <v>66</v>
      </c>
      <c r="B139" t="s">
        <v>67</v>
      </c>
      <c r="C139" t="s">
        <v>49</v>
      </c>
      <c r="D139" t="s">
        <v>50</v>
      </c>
      <c r="E139" t="s">
        <v>51</v>
      </c>
      <c r="F139" t="s">
        <v>51</v>
      </c>
      <c r="G139" t="s">
        <v>52</v>
      </c>
      <c r="H139" t="s">
        <v>52</v>
      </c>
      <c r="I139" t="s">
        <v>52</v>
      </c>
      <c r="J139" t="s">
        <v>52</v>
      </c>
      <c r="K139" t="s">
        <v>52</v>
      </c>
      <c r="L139" t="s">
        <v>157</v>
      </c>
      <c r="M139" t="s">
        <v>554</v>
      </c>
      <c r="N139" t="s">
        <v>156</v>
      </c>
      <c r="O139" s="209" t="s">
        <v>139</v>
      </c>
      <c r="P139" s="209" t="s">
        <v>139</v>
      </c>
      <c r="Q139" t="s">
        <v>51</v>
      </c>
      <c r="R139" t="s">
        <v>51</v>
      </c>
      <c r="S139" t="s">
        <v>51</v>
      </c>
      <c r="T139" t="s">
        <v>51</v>
      </c>
    </row>
    <row r="140" spans="1:20">
      <c r="A140" t="s">
        <v>68</v>
      </c>
      <c r="B140" t="s">
        <v>69</v>
      </c>
      <c r="C140" t="s">
        <v>49</v>
      </c>
      <c r="D140" t="s">
        <v>50</v>
      </c>
      <c r="E140" t="s">
        <v>51</v>
      </c>
      <c r="F140" t="s">
        <v>51</v>
      </c>
      <c r="G140" t="s">
        <v>52</v>
      </c>
      <c r="H140" t="s">
        <v>52</v>
      </c>
      <c r="I140" t="s">
        <v>52</v>
      </c>
      <c r="J140" t="s">
        <v>52</v>
      </c>
      <c r="K140" t="s">
        <v>52</v>
      </c>
      <c r="L140" t="s">
        <v>157</v>
      </c>
      <c r="M140" t="s">
        <v>554</v>
      </c>
      <c r="N140" t="s">
        <v>156</v>
      </c>
      <c r="O140" s="209" t="s">
        <v>139</v>
      </c>
      <c r="P140" s="209" t="s">
        <v>139</v>
      </c>
      <c r="Q140" t="s">
        <v>51</v>
      </c>
      <c r="R140" t="s">
        <v>51</v>
      </c>
      <c r="S140" t="s">
        <v>51</v>
      </c>
      <c r="T140" t="s">
        <v>51</v>
      </c>
    </row>
    <row r="141" spans="1:20">
      <c r="A141" t="s">
        <v>70</v>
      </c>
      <c r="B141" t="s">
        <v>71</v>
      </c>
      <c r="C141" t="s">
        <v>49</v>
      </c>
      <c r="D141" t="s">
        <v>50</v>
      </c>
      <c r="E141" t="s">
        <v>51</v>
      </c>
      <c r="F141" t="s">
        <v>51</v>
      </c>
      <c r="G141" t="s">
        <v>52</v>
      </c>
      <c r="H141" t="s">
        <v>52</v>
      </c>
      <c r="I141" t="s">
        <v>52</v>
      </c>
      <c r="J141" t="s">
        <v>52</v>
      </c>
      <c r="K141" t="s">
        <v>52</v>
      </c>
      <c r="L141" t="s">
        <v>157</v>
      </c>
      <c r="M141" t="s">
        <v>554</v>
      </c>
      <c r="N141" t="s">
        <v>156</v>
      </c>
      <c r="O141" s="209" t="s">
        <v>139</v>
      </c>
      <c r="P141" s="209" t="s">
        <v>139</v>
      </c>
      <c r="Q141" t="s">
        <v>51</v>
      </c>
      <c r="R141" t="s">
        <v>51</v>
      </c>
      <c r="S141" t="s">
        <v>51</v>
      </c>
      <c r="T141" t="s">
        <v>51</v>
      </c>
    </row>
    <row r="142" spans="1:20">
      <c r="A142" t="s">
        <v>72</v>
      </c>
      <c r="B142" t="s">
        <v>73</v>
      </c>
      <c r="C142" t="s">
        <v>49</v>
      </c>
      <c r="D142" t="s">
        <v>50</v>
      </c>
      <c r="E142" t="s">
        <v>51</v>
      </c>
      <c r="F142" t="s">
        <v>51</v>
      </c>
      <c r="G142" t="s">
        <v>52</v>
      </c>
      <c r="H142" t="s">
        <v>52</v>
      </c>
      <c r="I142" t="s">
        <v>52</v>
      </c>
      <c r="J142" t="s">
        <v>52</v>
      </c>
      <c r="K142" t="s">
        <v>52</v>
      </c>
      <c r="L142" t="s">
        <v>157</v>
      </c>
      <c r="M142" t="s">
        <v>554</v>
      </c>
      <c r="N142" t="s">
        <v>156</v>
      </c>
      <c r="O142" s="209" t="s">
        <v>139</v>
      </c>
      <c r="P142" s="209" t="s">
        <v>139</v>
      </c>
      <c r="Q142" t="s">
        <v>51</v>
      </c>
      <c r="R142" t="s">
        <v>51</v>
      </c>
      <c r="S142" t="s">
        <v>51</v>
      </c>
      <c r="T142" t="s">
        <v>51</v>
      </c>
    </row>
    <row r="143" spans="1:20">
      <c r="A143" t="s">
        <v>74</v>
      </c>
      <c r="B143" t="s">
        <v>75</v>
      </c>
      <c r="C143" t="s">
        <v>49</v>
      </c>
      <c r="D143" t="s">
        <v>50</v>
      </c>
      <c r="E143" t="s">
        <v>51</v>
      </c>
      <c r="F143" t="s">
        <v>51</v>
      </c>
      <c r="G143" t="s">
        <v>52</v>
      </c>
      <c r="H143" t="s">
        <v>52</v>
      </c>
      <c r="I143" t="s">
        <v>52</v>
      </c>
      <c r="J143" t="s">
        <v>52</v>
      </c>
      <c r="K143" t="s">
        <v>52</v>
      </c>
      <c r="L143" t="s">
        <v>157</v>
      </c>
      <c r="M143" t="s">
        <v>554</v>
      </c>
      <c r="N143" t="s">
        <v>156</v>
      </c>
      <c r="O143" s="209" t="s">
        <v>139</v>
      </c>
      <c r="P143" s="209" t="s">
        <v>139</v>
      </c>
      <c r="Q143" t="s">
        <v>51</v>
      </c>
      <c r="R143" t="s">
        <v>51</v>
      </c>
      <c r="S143" t="s">
        <v>51</v>
      </c>
      <c r="T143" t="s">
        <v>51</v>
      </c>
    </row>
    <row r="144" spans="1:20">
      <c r="A144" t="s">
        <v>76</v>
      </c>
      <c r="B144" t="s">
        <v>77</v>
      </c>
      <c r="C144" t="s">
        <v>49</v>
      </c>
      <c r="D144" t="s">
        <v>50</v>
      </c>
      <c r="E144" t="s">
        <v>51</v>
      </c>
      <c r="F144" t="s">
        <v>51</v>
      </c>
      <c r="G144" t="s">
        <v>52</v>
      </c>
      <c r="H144" t="s">
        <v>52</v>
      </c>
      <c r="I144" t="s">
        <v>52</v>
      </c>
      <c r="J144" t="s">
        <v>52</v>
      </c>
      <c r="K144" t="s">
        <v>52</v>
      </c>
      <c r="L144" t="s">
        <v>157</v>
      </c>
      <c r="M144" t="s">
        <v>554</v>
      </c>
      <c r="N144" t="s">
        <v>156</v>
      </c>
      <c r="O144" s="209" t="s">
        <v>139</v>
      </c>
      <c r="P144" s="209" t="s">
        <v>139</v>
      </c>
      <c r="Q144" t="s">
        <v>51</v>
      </c>
      <c r="R144" t="s">
        <v>51</v>
      </c>
      <c r="S144" t="s">
        <v>51</v>
      </c>
      <c r="T144" t="s">
        <v>51</v>
      </c>
    </row>
    <row r="145" spans="1:20">
      <c r="A145" t="s">
        <v>78</v>
      </c>
      <c r="B145" t="s">
        <v>79</v>
      </c>
      <c r="C145" t="s">
        <v>49</v>
      </c>
      <c r="D145" t="s">
        <v>50</v>
      </c>
      <c r="E145" t="s">
        <v>51</v>
      </c>
      <c r="F145" t="s">
        <v>51</v>
      </c>
      <c r="G145" t="s">
        <v>52</v>
      </c>
      <c r="H145" t="s">
        <v>52</v>
      </c>
      <c r="I145" t="s">
        <v>52</v>
      </c>
      <c r="J145" t="s">
        <v>52</v>
      </c>
      <c r="K145" t="s">
        <v>52</v>
      </c>
      <c r="L145" t="s">
        <v>157</v>
      </c>
      <c r="M145" t="s">
        <v>554</v>
      </c>
      <c r="N145" t="s">
        <v>156</v>
      </c>
      <c r="O145" s="209" t="s">
        <v>139</v>
      </c>
      <c r="P145" s="209" t="s">
        <v>139</v>
      </c>
      <c r="Q145" t="s">
        <v>51</v>
      </c>
      <c r="R145" t="s">
        <v>51</v>
      </c>
      <c r="S145" t="s">
        <v>51</v>
      </c>
      <c r="T145" t="s">
        <v>51</v>
      </c>
    </row>
    <row r="146" spans="1:20">
      <c r="A146" t="s">
        <v>80</v>
      </c>
      <c r="B146" t="s">
        <v>81</v>
      </c>
      <c r="C146" t="s">
        <v>49</v>
      </c>
      <c r="D146" t="s">
        <v>50</v>
      </c>
      <c r="E146" t="s">
        <v>51</v>
      </c>
      <c r="F146" t="s">
        <v>51</v>
      </c>
      <c r="G146" t="s">
        <v>52</v>
      </c>
      <c r="H146" t="s">
        <v>52</v>
      </c>
      <c r="I146" t="s">
        <v>52</v>
      </c>
      <c r="J146" t="s">
        <v>52</v>
      </c>
      <c r="K146" t="s">
        <v>52</v>
      </c>
      <c r="L146" t="s">
        <v>157</v>
      </c>
      <c r="M146" t="s">
        <v>554</v>
      </c>
      <c r="N146" t="s">
        <v>156</v>
      </c>
      <c r="O146" s="209" t="s">
        <v>139</v>
      </c>
      <c r="P146" s="209" t="s">
        <v>139</v>
      </c>
      <c r="Q146" t="s">
        <v>51</v>
      </c>
      <c r="R146" t="s">
        <v>51</v>
      </c>
      <c r="S146" t="s">
        <v>51</v>
      </c>
      <c r="T146" t="s">
        <v>51</v>
      </c>
    </row>
    <row r="147" spans="1:20">
      <c r="A147" t="s">
        <v>82</v>
      </c>
      <c r="B147" t="s">
        <v>83</v>
      </c>
      <c r="C147" t="s">
        <v>49</v>
      </c>
      <c r="D147" t="s">
        <v>50</v>
      </c>
      <c r="E147" t="s">
        <v>51</v>
      </c>
      <c r="F147" t="s">
        <v>51</v>
      </c>
      <c r="G147" t="s">
        <v>52</v>
      </c>
      <c r="H147" t="s">
        <v>52</v>
      </c>
      <c r="I147" t="s">
        <v>52</v>
      </c>
      <c r="J147" t="s">
        <v>52</v>
      </c>
      <c r="K147" t="s">
        <v>52</v>
      </c>
      <c r="L147" t="s">
        <v>157</v>
      </c>
      <c r="M147" t="s">
        <v>554</v>
      </c>
      <c r="N147" t="s">
        <v>156</v>
      </c>
      <c r="O147" s="209" t="s">
        <v>139</v>
      </c>
      <c r="P147" s="209" t="s">
        <v>139</v>
      </c>
      <c r="Q147" t="s">
        <v>51</v>
      </c>
      <c r="R147" t="s">
        <v>51</v>
      </c>
      <c r="S147" t="s">
        <v>51</v>
      </c>
      <c r="T147" t="s">
        <v>51</v>
      </c>
    </row>
    <row r="148" spans="1:20">
      <c r="A148" t="s">
        <v>84</v>
      </c>
      <c r="B148" t="s">
        <v>85</v>
      </c>
      <c r="C148" t="s">
        <v>49</v>
      </c>
      <c r="D148" t="s">
        <v>50</v>
      </c>
      <c r="E148" t="s">
        <v>51</v>
      </c>
      <c r="F148" t="s">
        <v>51</v>
      </c>
      <c r="G148" t="s">
        <v>52</v>
      </c>
      <c r="H148" t="s">
        <v>52</v>
      </c>
      <c r="I148" t="s">
        <v>52</v>
      </c>
      <c r="J148" t="s">
        <v>52</v>
      </c>
      <c r="K148" t="s">
        <v>52</v>
      </c>
      <c r="L148" t="s">
        <v>157</v>
      </c>
      <c r="M148" t="s">
        <v>554</v>
      </c>
      <c r="N148" t="s">
        <v>156</v>
      </c>
      <c r="O148" s="209" t="s">
        <v>139</v>
      </c>
      <c r="P148" s="209" t="s">
        <v>139</v>
      </c>
      <c r="Q148" t="s">
        <v>51</v>
      </c>
      <c r="R148" t="s">
        <v>51</v>
      </c>
      <c r="S148" t="s">
        <v>51</v>
      </c>
      <c r="T148" t="s">
        <v>51</v>
      </c>
    </row>
    <row r="149" spans="1:20">
      <c r="A149" t="s">
        <v>86</v>
      </c>
      <c r="B149" t="s">
        <v>87</v>
      </c>
      <c r="C149" t="s">
        <v>49</v>
      </c>
      <c r="D149" t="s">
        <v>50</v>
      </c>
      <c r="E149" t="s">
        <v>51</v>
      </c>
      <c r="F149" t="s">
        <v>51</v>
      </c>
      <c r="G149" t="s">
        <v>52</v>
      </c>
      <c r="H149" t="s">
        <v>52</v>
      </c>
      <c r="I149" t="s">
        <v>52</v>
      </c>
      <c r="J149" t="s">
        <v>52</v>
      </c>
      <c r="K149" t="s">
        <v>52</v>
      </c>
      <c r="L149" t="s">
        <v>157</v>
      </c>
      <c r="M149" t="s">
        <v>554</v>
      </c>
      <c r="N149" t="s">
        <v>156</v>
      </c>
      <c r="O149" s="209" t="s">
        <v>139</v>
      </c>
      <c r="P149" s="209" t="s">
        <v>139</v>
      </c>
      <c r="Q149" t="s">
        <v>51</v>
      </c>
      <c r="R149" t="s">
        <v>51</v>
      </c>
      <c r="S149" t="s">
        <v>51</v>
      </c>
      <c r="T149" t="s">
        <v>51</v>
      </c>
    </row>
    <row r="150" spans="1:20">
      <c r="A150" t="s">
        <v>88</v>
      </c>
      <c r="B150" t="s">
        <v>89</v>
      </c>
      <c r="C150" t="s">
        <v>49</v>
      </c>
      <c r="D150" t="s">
        <v>50</v>
      </c>
      <c r="E150" t="s">
        <v>51</v>
      </c>
      <c r="F150" t="s">
        <v>51</v>
      </c>
      <c r="G150" t="s">
        <v>52</v>
      </c>
      <c r="H150" t="s">
        <v>52</v>
      </c>
      <c r="I150" t="s">
        <v>52</v>
      </c>
      <c r="J150" t="s">
        <v>52</v>
      </c>
      <c r="K150" t="s">
        <v>52</v>
      </c>
      <c r="L150" t="s">
        <v>157</v>
      </c>
      <c r="M150" t="s">
        <v>554</v>
      </c>
      <c r="N150" t="s">
        <v>156</v>
      </c>
      <c r="O150" s="209" t="s">
        <v>139</v>
      </c>
      <c r="P150" s="209" t="s">
        <v>139</v>
      </c>
      <c r="Q150" t="s">
        <v>51</v>
      </c>
      <c r="R150" t="s">
        <v>51</v>
      </c>
      <c r="S150" t="s">
        <v>51</v>
      </c>
      <c r="T150" t="s">
        <v>51</v>
      </c>
    </row>
    <row r="151" spans="1:20">
      <c r="A151" t="s">
        <v>90</v>
      </c>
      <c r="B151" t="s">
        <v>91</v>
      </c>
      <c r="C151" t="s">
        <v>49</v>
      </c>
      <c r="D151" t="s">
        <v>50</v>
      </c>
      <c r="E151" t="s">
        <v>51</v>
      </c>
      <c r="F151" t="s">
        <v>51</v>
      </c>
      <c r="G151" t="s">
        <v>52</v>
      </c>
      <c r="H151" t="s">
        <v>52</v>
      </c>
      <c r="I151" t="s">
        <v>52</v>
      </c>
      <c r="J151" t="s">
        <v>52</v>
      </c>
      <c r="K151" t="s">
        <v>52</v>
      </c>
      <c r="L151" t="s">
        <v>157</v>
      </c>
      <c r="M151" t="s">
        <v>554</v>
      </c>
      <c r="N151" t="s">
        <v>156</v>
      </c>
      <c r="O151" s="209" t="s">
        <v>139</v>
      </c>
      <c r="P151" s="209" t="s">
        <v>139</v>
      </c>
      <c r="Q151" t="s">
        <v>51</v>
      </c>
      <c r="R151" t="s">
        <v>51</v>
      </c>
      <c r="S151" t="s">
        <v>51</v>
      </c>
      <c r="T151" t="s">
        <v>51</v>
      </c>
    </row>
    <row r="152" spans="1:20">
      <c r="A152" t="s">
        <v>92</v>
      </c>
      <c r="B152" t="s">
        <v>93</v>
      </c>
      <c r="C152" t="s">
        <v>49</v>
      </c>
      <c r="D152" t="s">
        <v>50</v>
      </c>
      <c r="E152" t="s">
        <v>51</v>
      </c>
      <c r="F152" t="s">
        <v>51</v>
      </c>
      <c r="G152" t="s">
        <v>52</v>
      </c>
      <c r="H152" t="s">
        <v>52</v>
      </c>
      <c r="I152" t="s">
        <v>52</v>
      </c>
      <c r="J152" t="s">
        <v>52</v>
      </c>
      <c r="K152" t="s">
        <v>52</v>
      </c>
      <c r="L152" t="s">
        <v>157</v>
      </c>
      <c r="M152" t="s">
        <v>554</v>
      </c>
      <c r="N152" t="s">
        <v>156</v>
      </c>
      <c r="O152" s="209" t="s">
        <v>139</v>
      </c>
      <c r="P152" s="209" t="s">
        <v>139</v>
      </c>
      <c r="Q152" t="s">
        <v>51</v>
      </c>
      <c r="R152" t="s">
        <v>51</v>
      </c>
      <c r="S152" t="s">
        <v>51</v>
      </c>
      <c r="T152" t="s">
        <v>51</v>
      </c>
    </row>
    <row r="153" spans="1:20">
      <c r="A153" t="s">
        <v>94</v>
      </c>
      <c r="B153" t="s">
        <v>95</v>
      </c>
      <c r="C153" t="s">
        <v>49</v>
      </c>
      <c r="D153" t="s">
        <v>50</v>
      </c>
      <c r="E153" t="s">
        <v>51</v>
      </c>
      <c r="F153" t="s">
        <v>51</v>
      </c>
      <c r="G153" t="s">
        <v>52</v>
      </c>
      <c r="H153" t="s">
        <v>52</v>
      </c>
      <c r="I153" t="s">
        <v>52</v>
      </c>
      <c r="J153" t="s">
        <v>52</v>
      </c>
      <c r="K153" t="s">
        <v>52</v>
      </c>
      <c r="L153" t="s">
        <v>157</v>
      </c>
      <c r="M153" t="s">
        <v>554</v>
      </c>
      <c r="N153" t="s">
        <v>156</v>
      </c>
      <c r="O153" s="209" t="s">
        <v>139</v>
      </c>
      <c r="P153" s="209" t="s">
        <v>139</v>
      </c>
      <c r="Q153" t="s">
        <v>51</v>
      </c>
      <c r="R153" t="s">
        <v>51</v>
      </c>
      <c r="S153" t="s">
        <v>51</v>
      </c>
      <c r="T153" t="s">
        <v>51</v>
      </c>
    </row>
    <row r="154" spans="1:20">
      <c r="A154" t="s">
        <v>96</v>
      </c>
      <c r="B154" t="s">
        <v>97</v>
      </c>
      <c r="C154" t="s">
        <v>49</v>
      </c>
      <c r="D154" t="s">
        <v>50</v>
      </c>
      <c r="E154" t="s">
        <v>51</v>
      </c>
      <c r="F154" t="s">
        <v>51</v>
      </c>
      <c r="G154" t="s">
        <v>52</v>
      </c>
      <c r="H154" t="s">
        <v>52</v>
      </c>
      <c r="I154" t="s">
        <v>52</v>
      </c>
      <c r="J154" t="s">
        <v>52</v>
      </c>
      <c r="K154" t="s">
        <v>52</v>
      </c>
      <c r="L154" t="s">
        <v>157</v>
      </c>
      <c r="M154" t="s">
        <v>554</v>
      </c>
      <c r="N154" t="s">
        <v>156</v>
      </c>
      <c r="O154" s="209" t="s">
        <v>139</v>
      </c>
      <c r="P154" s="209" t="s">
        <v>139</v>
      </c>
      <c r="Q154" t="s">
        <v>51</v>
      </c>
      <c r="R154" t="s">
        <v>51</v>
      </c>
      <c r="S154" t="s">
        <v>51</v>
      </c>
      <c r="T154" t="s">
        <v>51</v>
      </c>
    </row>
    <row r="155" spans="1:20">
      <c r="A155" t="s">
        <v>98</v>
      </c>
      <c r="B155" t="s">
        <v>99</v>
      </c>
      <c r="C155" t="s">
        <v>49</v>
      </c>
      <c r="D155" t="s">
        <v>50</v>
      </c>
      <c r="E155" t="s">
        <v>51</v>
      </c>
      <c r="F155" t="s">
        <v>51</v>
      </c>
      <c r="G155" t="s">
        <v>52</v>
      </c>
      <c r="H155" t="s">
        <v>52</v>
      </c>
      <c r="I155" t="s">
        <v>52</v>
      </c>
      <c r="J155" t="s">
        <v>52</v>
      </c>
      <c r="K155" t="s">
        <v>52</v>
      </c>
      <c r="L155" t="s">
        <v>157</v>
      </c>
      <c r="M155" t="s">
        <v>554</v>
      </c>
      <c r="N155" t="s">
        <v>156</v>
      </c>
      <c r="O155" s="209" t="s">
        <v>139</v>
      </c>
      <c r="P155" s="209" t="s">
        <v>139</v>
      </c>
      <c r="Q155" t="s">
        <v>51</v>
      </c>
      <c r="R155" t="s">
        <v>51</v>
      </c>
      <c r="S155" t="s">
        <v>51</v>
      </c>
      <c r="T155" t="s">
        <v>51</v>
      </c>
    </row>
    <row r="156" spans="1:20">
      <c r="A156" t="s">
        <v>100</v>
      </c>
      <c r="B156" t="s">
        <v>101</v>
      </c>
      <c r="C156" t="s">
        <v>49</v>
      </c>
      <c r="D156" t="s">
        <v>50</v>
      </c>
      <c r="E156" t="s">
        <v>51</v>
      </c>
      <c r="F156" t="s">
        <v>51</v>
      </c>
      <c r="G156" t="s">
        <v>52</v>
      </c>
      <c r="H156" t="s">
        <v>52</v>
      </c>
      <c r="I156" t="s">
        <v>52</v>
      </c>
      <c r="J156" t="s">
        <v>52</v>
      </c>
      <c r="K156" t="s">
        <v>52</v>
      </c>
      <c r="L156" t="s">
        <v>157</v>
      </c>
      <c r="M156" t="s">
        <v>554</v>
      </c>
      <c r="N156" t="s">
        <v>156</v>
      </c>
      <c r="O156" s="209" t="s">
        <v>139</v>
      </c>
      <c r="P156" s="209" t="s">
        <v>139</v>
      </c>
      <c r="Q156" t="s">
        <v>51</v>
      </c>
      <c r="R156" t="s">
        <v>51</v>
      </c>
      <c r="S156" t="s">
        <v>51</v>
      </c>
      <c r="T156" t="s">
        <v>51</v>
      </c>
    </row>
    <row r="157" spans="1:20">
      <c r="A157" t="s">
        <v>102</v>
      </c>
      <c r="B157" t="s">
        <v>103</v>
      </c>
      <c r="C157" t="s">
        <v>49</v>
      </c>
      <c r="D157" t="s">
        <v>50</v>
      </c>
      <c r="E157" t="s">
        <v>51</v>
      </c>
      <c r="F157" t="s">
        <v>51</v>
      </c>
      <c r="G157" t="s">
        <v>52</v>
      </c>
      <c r="H157" t="s">
        <v>52</v>
      </c>
      <c r="I157" t="s">
        <v>52</v>
      </c>
      <c r="J157" t="s">
        <v>52</v>
      </c>
      <c r="K157" t="s">
        <v>52</v>
      </c>
      <c r="L157" t="s">
        <v>157</v>
      </c>
      <c r="M157" t="s">
        <v>554</v>
      </c>
      <c r="N157" t="s">
        <v>156</v>
      </c>
      <c r="O157" s="209" t="s">
        <v>139</v>
      </c>
      <c r="P157" s="209" t="s">
        <v>139</v>
      </c>
      <c r="Q157" t="s">
        <v>51</v>
      </c>
      <c r="R157" t="s">
        <v>51</v>
      </c>
      <c r="S157" t="s">
        <v>51</v>
      </c>
      <c r="T157" t="s">
        <v>51</v>
      </c>
    </row>
    <row r="158" spans="1:20">
      <c r="A158" t="s">
        <v>104</v>
      </c>
      <c r="B158" t="s">
        <v>105</v>
      </c>
      <c r="C158" t="s">
        <v>49</v>
      </c>
      <c r="D158" t="s">
        <v>50</v>
      </c>
      <c r="E158" t="s">
        <v>51</v>
      </c>
      <c r="F158" t="s">
        <v>51</v>
      </c>
      <c r="G158" t="s">
        <v>52</v>
      </c>
      <c r="H158" t="s">
        <v>52</v>
      </c>
      <c r="I158" t="s">
        <v>52</v>
      </c>
      <c r="J158" t="s">
        <v>52</v>
      </c>
      <c r="K158" t="s">
        <v>52</v>
      </c>
      <c r="L158" t="s">
        <v>157</v>
      </c>
      <c r="M158" t="s">
        <v>554</v>
      </c>
      <c r="N158" t="s">
        <v>156</v>
      </c>
      <c r="O158" s="209" t="s">
        <v>139</v>
      </c>
      <c r="P158" s="209" t="s">
        <v>139</v>
      </c>
      <c r="Q158" t="s">
        <v>51</v>
      </c>
      <c r="R158" t="s">
        <v>51</v>
      </c>
      <c r="S158" t="s">
        <v>51</v>
      </c>
      <c r="T158" t="s">
        <v>51</v>
      </c>
    </row>
    <row r="159" spans="1:20">
      <c r="A159" t="s">
        <v>106</v>
      </c>
      <c r="B159" t="s">
        <v>107</v>
      </c>
      <c r="C159" t="s">
        <v>49</v>
      </c>
      <c r="D159" t="s">
        <v>50</v>
      </c>
      <c r="E159" t="s">
        <v>51</v>
      </c>
      <c r="F159" t="s">
        <v>51</v>
      </c>
      <c r="G159" t="s">
        <v>52</v>
      </c>
      <c r="H159" t="s">
        <v>52</v>
      </c>
      <c r="I159" t="s">
        <v>52</v>
      </c>
      <c r="J159" t="s">
        <v>52</v>
      </c>
      <c r="K159" t="s">
        <v>52</v>
      </c>
      <c r="L159" t="s">
        <v>157</v>
      </c>
      <c r="M159" t="s">
        <v>554</v>
      </c>
      <c r="N159" t="s">
        <v>156</v>
      </c>
      <c r="O159" s="209" t="s">
        <v>139</v>
      </c>
      <c r="P159" s="209" t="s">
        <v>139</v>
      </c>
      <c r="Q159" t="s">
        <v>51</v>
      </c>
      <c r="R159" t="s">
        <v>51</v>
      </c>
      <c r="S159" t="s">
        <v>51</v>
      </c>
      <c r="T159" t="s">
        <v>51</v>
      </c>
    </row>
    <row r="160" spans="1:20">
      <c r="A160" t="s">
        <v>108</v>
      </c>
      <c r="B160" t="s">
        <v>109</v>
      </c>
      <c r="C160" t="s">
        <v>49</v>
      </c>
      <c r="D160" t="s">
        <v>50</v>
      </c>
      <c r="E160" t="s">
        <v>51</v>
      </c>
      <c r="F160" t="s">
        <v>51</v>
      </c>
      <c r="G160" t="s">
        <v>52</v>
      </c>
      <c r="H160" t="s">
        <v>52</v>
      </c>
      <c r="I160" t="s">
        <v>52</v>
      </c>
      <c r="J160" t="s">
        <v>52</v>
      </c>
      <c r="K160" t="s">
        <v>52</v>
      </c>
      <c r="L160" t="s">
        <v>157</v>
      </c>
      <c r="M160" t="s">
        <v>554</v>
      </c>
      <c r="N160" t="s">
        <v>156</v>
      </c>
      <c r="O160" s="209" t="s">
        <v>139</v>
      </c>
      <c r="P160" s="209" t="s">
        <v>139</v>
      </c>
      <c r="Q160" t="s">
        <v>51</v>
      </c>
      <c r="R160" t="s">
        <v>51</v>
      </c>
      <c r="S160" t="s">
        <v>51</v>
      </c>
      <c r="T160" t="s">
        <v>51</v>
      </c>
    </row>
    <row r="161" spans="1:20">
      <c r="A161" t="s">
        <v>110</v>
      </c>
      <c r="B161" t="s">
        <v>111</v>
      </c>
      <c r="C161" t="s">
        <v>49</v>
      </c>
      <c r="D161" t="s">
        <v>50</v>
      </c>
      <c r="E161" t="s">
        <v>51</v>
      </c>
      <c r="F161" t="s">
        <v>51</v>
      </c>
      <c r="G161" t="s">
        <v>52</v>
      </c>
      <c r="H161" t="s">
        <v>52</v>
      </c>
      <c r="I161" t="s">
        <v>52</v>
      </c>
      <c r="J161" t="s">
        <v>52</v>
      </c>
      <c r="K161" t="s">
        <v>52</v>
      </c>
      <c r="L161" t="s">
        <v>157</v>
      </c>
      <c r="M161" t="s">
        <v>554</v>
      </c>
      <c r="N161" t="s">
        <v>156</v>
      </c>
      <c r="O161" s="209" t="s">
        <v>139</v>
      </c>
      <c r="P161" s="209" t="s">
        <v>139</v>
      </c>
      <c r="Q161" t="s">
        <v>51</v>
      </c>
      <c r="R161" t="s">
        <v>51</v>
      </c>
      <c r="S161" t="s">
        <v>51</v>
      </c>
      <c r="T161" t="s">
        <v>51</v>
      </c>
    </row>
    <row r="162" spans="1:20">
      <c r="A162" t="s">
        <v>112</v>
      </c>
      <c r="B162" t="s">
        <v>113</v>
      </c>
      <c r="C162" t="s">
        <v>49</v>
      </c>
      <c r="D162" t="s">
        <v>50</v>
      </c>
      <c r="E162" t="s">
        <v>51</v>
      </c>
      <c r="F162" t="s">
        <v>51</v>
      </c>
      <c r="G162" t="s">
        <v>52</v>
      </c>
      <c r="H162" t="s">
        <v>52</v>
      </c>
      <c r="I162" t="s">
        <v>52</v>
      </c>
      <c r="J162" t="s">
        <v>52</v>
      </c>
      <c r="K162" t="s">
        <v>52</v>
      </c>
      <c r="L162" t="s">
        <v>157</v>
      </c>
      <c r="M162" t="s">
        <v>554</v>
      </c>
      <c r="N162" t="s">
        <v>156</v>
      </c>
      <c r="O162" s="209" t="s">
        <v>139</v>
      </c>
      <c r="P162" s="209" t="s">
        <v>139</v>
      </c>
      <c r="Q162" t="s">
        <v>51</v>
      </c>
      <c r="R162" t="s">
        <v>51</v>
      </c>
      <c r="S162" t="s">
        <v>51</v>
      </c>
      <c r="T162" t="s">
        <v>51</v>
      </c>
    </row>
    <row r="163" spans="1:20">
      <c r="A163" t="s">
        <v>114</v>
      </c>
      <c r="B163" t="s">
        <v>115</v>
      </c>
      <c r="C163" t="s">
        <v>49</v>
      </c>
      <c r="D163" t="s">
        <v>50</v>
      </c>
      <c r="E163" t="s">
        <v>51</v>
      </c>
      <c r="F163" t="s">
        <v>51</v>
      </c>
      <c r="G163" t="s">
        <v>52</v>
      </c>
      <c r="H163" t="s">
        <v>52</v>
      </c>
      <c r="I163" t="s">
        <v>52</v>
      </c>
      <c r="J163" t="s">
        <v>52</v>
      </c>
      <c r="K163" t="s">
        <v>52</v>
      </c>
      <c r="L163" t="s">
        <v>157</v>
      </c>
      <c r="M163" t="s">
        <v>554</v>
      </c>
      <c r="N163" t="s">
        <v>156</v>
      </c>
      <c r="O163" s="209" t="s">
        <v>139</v>
      </c>
      <c r="P163" s="209" t="s">
        <v>139</v>
      </c>
      <c r="Q163" t="s">
        <v>51</v>
      </c>
      <c r="R163" t="s">
        <v>51</v>
      </c>
      <c r="S163" t="s">
        <v>51</v>
      </c>
      <c r="T163" t="s">
        <v>51</v>
      </c>
    </row>
    <row r="164" spans="1:20">
      <c r="A164" t="s">
        <v>116</v>
      </c>
      <c r="B164" t="s">
        <v>117</v>
      </c>
      <c r="C164" t="s">
        <v>49</v>
      </c>
      <c r="D164" t="s">
        <v>50</v>
      </c>
      <c r="E164" t="s">
        <v>51</v>
      </c>
      <c r="F164" t="s">
        <v>51</v>
      </c>
      <c r="G164" t="s">
        <v>52</v>
      </c>
      <c r="H164" t="s">
        <v>52</v>
      </c>
      <c r="I164" t="s">
        <v>52</v>
      </c>
      <c r="J164" t="s">
        <v>52</v>
      </c>
      <c r="K164" t="s">
        <v>52</v>
      </c>
      <c r="L164" t="s">
        <v>157</v>
      </c>
      <c r="M164" t="s">
        <v>554</v>
      </c>
      <c r="N164" t="s">
        <v>156</v>
      </c>
      <c r="O164" s="209" t="s">
        <v>139</v>
      </c>
      <c r="P164" s="209" t="s">
        <v>139</v>
      </c>
      <c r="Q164" t="s">
        <v>51</v>
      </c>
      <c r="R164" t="s">
        <v>51</v>
      </c>
      <c r="S164" t="s">
        <v>51</v>
      </c>
      <c r="T164" t="s">
        <v>51</v>
      </c>
    </row>
    <row r="165" spans="1:20">
      <c r="A165" t="s">
        <v>118</v>
      </c>
      <c r="B165" t="s">
        <v>119</v>
      </c>
      <c r="C165" t="s">
        <v>49</v>
      </c>
      <c r="D165" t="s">
        <v>50</v>
      </c>
      <c r="E165" t="s">
        <v>51</v>
      </c>
      <c r="F165" t="s">
        <v>51</v>
      </c>
      <c r="G165" t="s">
        <v>52</v>
      </c>
      <c r="H165" t="s">
        <v>52</v>
      </c>
      <c r="I165" t="s">
        <v>52</v>
      </c>
      <c r="J165" t="s">
        <v>52</v>
      </c>
      <c r="K165" t="s">
        <v>52</v>
      </c>
      <c r="L165" t="s">
        <v>157</v>
      </c>
      <c r="M165" t="s">
        <v>554</v>
      </c>
      <c r="N165" t="s">
        <v>156</v>
      </c>
      <c r="O165" s="209" t="s">
        <v>139</v>
      </c>
      <c r="P165" s="209" t="s">
        <v>139</v>
      </c>
      <c r="Q165" t="s">
        <v>51</v>
      </c>
      <c r="R165" t="s">
        <v>51</v>
      </c>
      <c r="S165" t="s">
        <v>51</v>
      </c>
      <c r="T165" t="s">
        <v>51</v>
      </c>
    </row>
    <row r="166" spans="1:20">
      <c r="A166" t="s">
        <v>120</v>
      </c>
      <c r="B166" t="s">
        <v>121</v>
      </c>
      <c r="C166" t="s">
        <v>49</v>
      </c>
      <c r="D166" t="s">
        <v>50</v>
      </c>
      <c r="E166" t="s">
        <v>51</v>
      </c>
      <c r="F166" t="s">
        <v>51</v>
      </c>
      <c r="G166" t="s">
        <v>52</v>
      </c>
      <c r="H166" t="s">
        <v>52</v>
      </c>
      <c r="I166" t="s">
        <v>52</v>
      </c>
      <c r="J166" t="s">
        <v>52</v>
      </c>
      <c r="K166" t="s">
        <v>52</v>
      </c>
      <c r="L166" t="s">
        <v>157</v>
      </c>
      <c r="M166" t="s">
        <v>554</v>
      </c>
      <c r="N166" t="s">
        <v>156</v>
      </c>
      <c r="O166" s="209" t="s">
        <v>139</v>
      </c>
      <c r="P166" s="209" t="s">
        <v>139</v>
      </c>
      <c r="Q166" t="s">
        <v>51</v>
      </c>
      <c r="R166" t="s">
        <v>51</v>
      </c>
      <c r="S166" t="s">
        <v>51</v>
      </c>
      <c r="T166" t="s">
        <v>51</v>
      </c>
    </row>
    <row r="167" spans="1:20">
      <c r="A167" t="s">
        <v>122</v>
      </c>
      <c r="B167" t="s">
        <v>123</v>
      </c>
      <c r="C167" t="s">
        <v>49</v>
      </c>
      <c r="D167" t="s">
        <v>50</v>
      </c>
      <c r="E167" t="s">
        <v>51</v>
      </c>
      <c r="F167" t="s">
        <v>51</v>
      </c>
      <c r="G167" t="s">
        <v>52</v>
      </c>
      <c r="H167" t="s">
        <v>52</v>
      </c>
      <c r="I167" t="s">
        <v>52</v>
      </c>
      <c r="J167" t="s">
        <v>52</v>
      </c>
      <c r="K167" t="s">
        <v>52</v>
      </c>
      <c r="L167" t="s">
        <v>157</v>
      </c>
      <c r="M167" t="s">
        <v>554</v>
      </c>
      <c r="N167" t="s">
        <v>156</v>
      </c>
      <c r="O167" s="209" t="s">
        <v>139</v>
      </c>
      <c r="P167" s="209" t="s">
        <v>139</v>
      </c>
      <c r="Q167" t="s">
        <v>51</v>
      </c>
      <c r="R167" t="s">
        <v>51</v>
      </c>
      <c r="S167" t="s">
        <v>51</v>
      </c>
      <c r="T167" t="s">
        <v>51</v>
      </c>
    </row>
    <row r="168" spans="1:20">
      <c r="A168" t="s">
        <v>124</v>
      </c>
      <c r="B168" t="s">
        <v>125</v>
      </c>
      <c r="C168" t="s">
        <v>49</v>
      </c>
      <c r="D168" t="s">
        <v>50</v>
      </c>
      <c r="E168" t="s">
        <v>51</v>
      </c>
      <c r="F168" t="s">
        <v>51</v>
      </c>
      <c r="G168" t="s">
        <v>52</v>
      </c>
      <c r="H168" t="s">
        <v>52</v>
      </c>
      <c r="I168" t="s">
        <v>52</v>
      </c>
      <c r="J168" t="s">
        <v>52</v>
      </c>
      <c r="K168" t="s">
        <v>52</v>
      </c>
      <c r="L168" t="s">
        <v>157</v>
      </c>
      <c r="M168" t="s">
        <v>554</v>
      </c>
      <c r="N168" t="s">
        <v>156</v>
      </c>
      <c r="O168" s="209" t="s">
        <v>139</v>
      </c>
      <c r="P168" s="209" t="s">
        <v>139</v>
      </c>
      <c r="Q168" t="s">
        <v>51</v>
      </c>
      <c r="R168" t="s">
        <v>51</v>
      </c>
      <c r="S168" t="s">
        <v>51</v>
      </c>
      <c r="T168" t="s">
        <v>51</v>
      </c>
    </row>
    <row r="169" spans="1:20">
      <c r="A169" t="s">
        <v>126</v>
      </c>
      <c r="B169" t="s">
        <v>127</v>
      </c>
      <c r="C169" t="s">
        <v>49</v>
      </c>
      <c r="D169" t="s">
        <v>50</v>
      </c>
      <c r="E169" t="s">
        <v>51</v>
      </c>
      <c r="F169" t="s">
        <v>51</v>
      </c>
      <c r="G169" t="s">
        <v>52</v>
      </c>
      <c r="H169" t="s">
        <v>52</v>
      </c>
      <c r="I169" t="s">
        <v>52</v>
      </c>
      <c r="J169" t="s">
        <v>52</v>
      </c>
      <c r="K169" t="s">
        <v>52</v>
      </c>
      <c r="L169" t="s">
        <v>157</v>
      </c>
      <c r="M169" t="s">
        <v>554</v>
      </c>
      <c r="N169" t="s">
        <v>156</v>
      </c>
      <c r="O169" s="209" t="s">
        <v>139</v>
      </c>
      <c r="P169" s="209" t="s">
        <v>139</v>
      </c>
      <c r="Q169" t="s">
        <v>51</v>
      </c>
      <c r="R169" t="s">
        <v>51</v>
      </c>
      <c r="S169" t="s">
        <v>51</v>
      </c>
      <c r="T169" t="s">
        <v>51</v>
      </c>
    </row>
    <row r="170" spans="1:20">
      <c r="A170" t="s">
        <v>128</v>
      </c>
      <c r="B170" t="s">
        <v>129</v>
      </c>
      <c r="C170" t="s">
        <v>49</v>
      </c>
      <c r="D170" t="s">
        <v>50</v>
      </c>
      <c r="E170" t="s">
        <v>51</v>
      </c>
      <c r="F170" t="s">
        <v>51</v>
      </c>
      <c r="G170" t="s">
        <v>52</v>
      </c>
      <c r="H170" t="s">
        <v>52</v>
      </c>
      <c r="I170" t="s">
        <v>52</v>
      </c>
      <c r="J170" t="s">
        <v>52</v>
      </c>
      <c r="K170" t="s">
        <v>52</v>
      </c>
      <c r="L170" t="s">
        <v>157</v>
      </c>
      <c r="M170" t="s">
        <v>554</v>
      </c>
      <c r="N170" t="s">
        <v>156</v>
      </c>
      <c r="O170" s="209" t="s">
        <v>139</v>
      </c>
      <c r="P170" s="209" t="s">
        <v>139</v>
      </c>
      <c r="Q170" t="s">
        <v>51</v>
      </c>
      <c r="R170" t="s">
        <v>51</v>
      </c>
      <c r="S170" t="s">
        <v>51</v>
      </c>
      <c r="T170" t="s">
        <v>51</v>
      </c>
    </row>
    <row r="171" spans="1:20">
      <c r="A171" t="s">
        <v>130</v>
      </c>
      <c r="B171" t="s">
        <v>131</v>
      </c>
      <c r="C171" t="s">
        <v>49</v>
      </c>
      <c r="D171" t="s">
        <v>50</v>
      </c>
      <c r="E171" t="s">
        <v>51</v>
      </c>
      <c r="F171" t="s">
        <v>51</v>
      </c>
      <c r="G171" t="s">
        <v>52</v>
      </c>
      <c r="H171" t="s">
        <v>52</v>
      </c>
      <c r="I171" t="s">
        <v>52</v>
      </c>
      <c r="J171" t="s">
        <v>52</v>
      </c>
      <c r="K171" t="s">
        <v>52</v>
      </c>
      <c r="L171" t="s">
        <v>157</v>
      </c>
      <c r="M171" t="s">
        <v>554</v>
      </c>
      <c r="N171" t="s">
        <v>156</v>
      </c>
      <c r="O171" s="209" t="s">
        <v>139</v>
      </c>
      <c r="P171" s="209" t="s">
        <v>139</v>
      </c>
      <c r="Q171" t="s">
        <v>51</v>
      </c>
      <c r="R171" t="s">
        <v>51</v>
      </c>
      <c r="S171" t="s">
        <v>51</v>
      </c>
      <c r="T171" t="s">
        <v>51</v>
      </c>
    </row>
    <row r="172" spans="1:20">
      <c r="A172" t="s">
        <v>132</v>
      </c>
      <c r="B172" t="s">
        <v>133</v>
      </c>
      <c r="C172" t="s">
        <v>49</v>
      </c>
      <c r="D172" t="s">
        <v>50</v>
      </c>
      <c r="E172" t="s">
        <v>51</v>
      </c>
      <c r="F172" t="s">
        <v>51</v>
      </c>
      <c r="G172" t="s">
        <v>52</v>
      </c>
      <c r="H172" t="s">
        <v>52</v>
      </c>
      <c r="I172" t="s">
        <v>52</v>
      </c>
      <c r="J172" t="s">
        <v>52</v>
      </c>
      <c r="K172" t="s">
        <v>52</v>
      </c>
      <c r="L172" t="s">
        <v>157</v>
      </c>
      <c r="M172" t="s">
        <v>554</v>
      </c>
      <c r="N172" t="s">
        <v>156</v>
      </c>
      <c r="O172" s="209" t="s">
        <v>139</v>
      </c>
      <c r="P172" s="209" t="s">
        <v>139</v>
      </c>
      <c r="Q172" t="s">
        <v>51</v>
      </c>
      <c r="R172" t="s">
        <v>51</v>
      </c>
      <c r="S172" t="s">
        <v>51</v>
      </c>
      <c r="T172" t="s">
        <v>51</v>
      </c>
    </row>
    <row r="173" spans="1:20">
      <c r="A173" t="s">
        <v>134</v>
      </c>
      <c r="B173" t="s">
        <v>135</v>
      </c>
      <c r="C173" t="s">
        <v>49</v>
      </c>
      <c r="D173" t="s">
        <v>50</v>
      </c>
      <c r="E173" t="s">
        <v>51</v>
      </c>
      <c r="F173" t="s">
        <v>51</v>
      </c>
      <c r="G173" t="s">
        <v>52</v>
      </c>
      <c r="H173" t="s">
        <v>52</v>
      </c>
      <c r="I173" t="s">
        <v>52</v>
      </c>
      <c r="J173" t="s">
        <v>52</v>
      </c>
      <c r="K173" t="s">
        <v>52</v>
      </c>
      <c r="L173" t="s">
        <v>157</v>
      </c>
      <c r="M173" t="s">
        <v>554</v>
      </c>
      <c r="N173" t="s">
        <v>156</v>
      </c>
      <c r="O173" s="209" t="s">
        <v>139</v>
      </c>
      <c r="P173" s="209" t="s">
        <v>139</v>
      </c>
      <c r="Q173" t="s">
        <v>51</v>
      </c>
      <c r="R173" t="s">
        <v>51</v>
      </c>
      <c r="S173" t="s">
        <v>51</v>
      </c>
      <c r="T173" t="s">
        <v>51</v>
      </c>
    </row>
    <row r="174" spans="1:20">
      <c r="A174" t="s">
        <v>136</v>
      </c>
      <c r="B174" t="s">
        <v>137</v>
      </c>
      <c r="C174" t="s">
        <v>49</v>
      </c>
      <c r="D174" t="s">
        <v>50</v>
      </c>
      <c r="E174" t="s">
        <v>51</v>
      </c>
      <c r="F174" t="s">
        <v>51</v>
      </c>
      <c r="G174" t="s">
        <v>52</v>
      </c>
      <c r="H174" t="s">
        <v>52</v>
      </c>
      <c r="I174" t="s">
        <v>52</v>
      </c>
      <c r="J174" t="s">
        <v>52</v>
      </c>
      <c r="K174" t="s">
        <v>52</v>
      </c>
      <c r="L174" t="s">
        <v>157</v>
      </c>
      <c r="M174" t="s">
        <v>554</v>
      </c>
      <c r="N174" t="s">
        <v>156</v>
      </c>
      <c r="O174" s="209" t="s">
        <v>139</v>
      </c>
      <c r="P174" s="209" t="s">
        <v>139</v>
      </c>
      <c r="Q174" t="s">
        <v>51</v>
      </c>
      <c r="R174" t="s">
        <v>51</v>
      </c>
      <c r="S174" t="s">
        <v>51</v>
      </c>
      <c r="T174" t="s">
        <v>51</v>
      </c>
    </row>
    <row r="175" spans="1:20">
      <c r="A175" t="s">
        <v>138</v>
      </c>
      <c r="B175" t="s">
        <v>139</v>
      </c>
      <c r="C175" t="s">
        <v>49</v>
      </c>
      <c r="D175" t="s">
        <v>50</v>
      </c>
      <c r="E175" t="s">
        <v>51</v>
      </c>
      <c r="F175" t="s">
        <v>51</v>
      </c>
      <c r="G175" t="s">
        <v>52</v>
      </c>
      <c r="H175" t="s">
        <v>52</v>
      </c>
      <c r="I175" t="s">
        <v>52</v>
      </c>
      <c r="J175" t="s">
        <v>52</v>
      </c>
      <c r="K175" t="s">
        <v>52</v>
      </c>
      <c r="L175" t="s">
        <v>157</v>
      </c>
      <c r="M175" t="s">
        <v>554</v>
      </c>
      <c r="N175" t="s">
        <v>156</v>
      </c>
      <c r="O175" s="209" t="s">
        <v>139</v>
      </c>
      <c r="P175" s="209" t="s">
        <v>139</v>
      </c>
      <c r="Q175" t="s">
        <v>51</v>
      </c>
      <c r="R175" t="s">
        <v>51</v>
      </c>
      <c r="S175" t="s">
        <v>51</v>
      </c>
      <c r="T175" t="s">
        <v>51</v>
      </c>
    </row>
    <row r="176" spans="1:20">
      <c r="A176" t="s">
        <v>140</v>
      </c>
      <c r="B176" t="s">
        <v>141</v>
      </c>
      <c r="C176" t="s">
        <v>49</v>
      </c>
      <c r="D176" t="s">
        <v>50</v>
      </c>
      <c r="E176" t="s">
        <v>51</v>
      </c>
      <c r="F176" t="s">
        <v>51</v>
      </c>
      <c r="G176" t="s">
        <v>52</v>
      </c>
      <c r="H176" t="s">
        <v>52</v>
      </c>
      <c r="I176" t="s">
        <v>52</v>
      </c>
      <c r="J176" t="s">
        <v>52</v>
      </c>
      <c r="K176" t="s">
        <v>52</v>
      </c>
      <c r="L176" t="s">
        <v>157</v>
      </c>
      <c r="M176" t="s">
        <v>554</v>
      </c>
      <c r="N176" t="s">
        <v>156</v>
      </c>
      <c r="O176" s="209" t="s">
        <v>139</v>
      </c>
      <c r="P176" s="209" t="s">
        <v>139</v>
      </c>
      <c r="Q176" t="s">
        <v>51</v>
      </c>
      <c r="R176" t="s">
        <v>51</v>
      </c>
      <c r="S176" t="s">
        <v>51</v>
      </c>
      <c r="T176" t="s">
        <v>51</v>
      </c>
    </row>
    <row r="177" spans="1:20">
      <c r="A177" t="s">
        <v>142</v>
      </c>
      <c r="B177" t="s">
        <v>143</v>
      </c>
      <c r="C177" t="s">
        <v>49</v>
      </c>
      <c r="D177" t="s">
        <v>50</v>
      </c>
      <c r="E177" t="s">
        <v>51</v>
      </c>
      <c r="F177" t="s">
        <v>51</v>
      </c>
      <c r="G177" t="s">
        <v>52</v>
      </c>
      <c r="H177" t="s">
        <v>52</v>
      </c>
      <c r="I177" t="s">
        <v>52</v>
      </c>
      <c r="J177" t="s">
        <v>52</v>
      </c>
      <c r="K177" t="s">
        <v>52</v>
      </c>
      <c r="L177" t="s">
        <v>157</v>
      </c>
      <c r="M177" t="s">
        <v>554</v>
      </c>
      <c r="N177" t="s">
        <v>156</v>
      </c>
      <c r="O177" s="209" t="s">
        <v>139</v>
      </c>
      <c r="P177" s="209" t="s">
        <v>139</v>
      </c>
      <c r="Q177" t="s">
        <v>51</v>
      </c>
      <c r="R177" t="s">
        <v>51</v>
      </c>
      <c r="S177" t="s">
        <v>51</v>
      </c>
      <c r="T177" t="s">
        <v>51</v>
      </c>
    </row>
    <row r="178" spans="1:20">
      <c r="A178" t="s">
        <v>144</v>
      </c>
      <c r="B178" t="s">
        <v>145</v>
      </c>
      <c r="C178" t="s">
        <v>49</v>
      </c>
      <c r="D178" t="s">
        <v>50</v>
      </c>
      <c r="E178" t="s">
        <v>51</v>
      </c>
      <c r="F178" t="s">
        <v>51</v>
      </c>
      <c r="G178" t="s">
        <v>52</v>
      </c>
      <c r="H178" t="s">
        <v>52</v>
      </c>
      <c r="I178" t="s">
        <v>52</v>
      </c>
      <c r="J178" t="s">
        <v>52</v>
      </c>
      <c r="K178" t="s">
        <v>52</v>
      </c>
      <c r="L178" t="s">
        <v>157</v>
      </c>
      <c r="M178" t="s">
        <v>554</v>
      </c>
      <c r="N178" t="s">
        <v>156</v>
      </c>
      <c r="O178" s="209" t="s">
        <v>139</v>
      </c>
      <c r="P178" s="209" t="s">
        <v>139</v>
      </c>
      <c r="Q178" t="s">
        <v>51</v>
      </c>
      <c r="R178" t="s">
        <v>51</v>
      </c>
      <c r="S178" t="s">
        <v>51</v>
      </c>
      <c r="T178" t="s">
        <v>51</v>
      </c>
    </row>
    <row r="179" spans="1:20">
      <c r="A179" t="s">
        <v>146</v>
      </c>
      <c r="B179" t="s">
        <v>147</v>
      </c>
      <c r="C179" t="s">
        <v>49</v>
      </c>
      <c r="D179" t="s">
        <v>50</v>
      </c>
      <c r="E179" t="s">
        <v>51</v>
      </c>
      <c r="F179" t="s">
        <v>51</v>
      </c>
      <c r="G179" t="s">
        <v>52</v>
      </c>
      <c r="H179" t="s">
        <v>52</v>
      </c>
      <c r="I179" t="s">
        <v>52</v>
      </c>
      <c r="J179" t="s">
        <v>52</v>
      </c>
      <c r="K179" t="s">
        <v>52</v>
      </c>
      <c r="L179" t="s">
        <v>157</v>
      </c>
      <c r="M179" t="s">
        <v>554</v>
      </c>
      <c r="N179" t="s">
        <v>156</v>
      </c>
      <c r="O179" s="209" t="s">
        <v>139</v>
      </c>
      <c r="P179" s="209" t="s">
        <v>139</v>
      </c>
      <c r="Q179" t="s">
        <v>51</v>
      </c>
      <c r="R179" t="s">
        <v>51</v>
      </c>
      <c r="S179" t="s">
        <v>51</v>
      </c>
      <c r="T179" t="s">
        <v>51</v>
      </c>
    </row>
    <row r="180" spans="1:20">
      <c r="A180" t="s">
        <v>148</v>
      </c>
      <c r="B180" t="s">
        <v>149</v>
      </c>
      <c r="C180" t="s">
        <v>49</v>
      </c>
      <c r="D180" t="s">
        <v>50</v>
      </c>
      <c r="E180" t="s">
        <v>51</v>
      </c>
      <c r="F180" t="s">
        <v>51</v>
      </c>
      <c r="G180" t="s">
        <v>52</v>
      </c>
      <c r="H180" t="s">
        <v>52</v>
      </c>
      <c r="I180" t="s">
        <v>52</v>
      </c>
      <c r="J180" t="s">
        <v>52</v>
      </c>
      <c r="K180" t="s">
        <v>52</v>
      </c>
      <c r="L180" t="s">
        <v>157</v>
      </c>
      <c r="M180" t="s">
        <v>554</v>
      </c>
      <c r="N180" t="s">
        <v>156</v>
      </c>
      <c r="O180" s="209" t="s">
        <v>139</v>
      </c>
      <c r="P180" s="209" t="s">
        <v>139</v>
      </c>
      <c r="Q180" t="s">
        <v>51</v>
      </c>
      <c r="R180" t="s">
        <v>51</v>
      </c>
      <c r="S180" t="s">
        <v>51</v>
      </c>
      <c r="T180" t="s">
        <v>51</v>
      </c>
    </row>
    <row r="181" spans="1:20">
      <c r="A181" t="s">
        <v>150</v>
      </c>
      <c r="B181" t="s">
        <v>151</v>
      </c>
      <c r="C181" t="s">
        <v>49</v>
      </c>
      <c r="D181" t="s">
        <v>50</v>
      </c>
      <c r="E181" t="s">
        <v>51</v>
      </c>
      <c r="F181" t="s">
        <v>51</v>
      </c>
      <c r="G181" t="s">
        <v>52</v>
      </c>
      <c r="H181" t="s">
        <v>52</v>
      </c>
      <c r="I181" t="s">
        <v>52</v>
      </c>
      <c r="J181" t="s">
        <v>52</v>
      </c>
      <c r="K181" t="s">
        <v>52</v>
      </c>
      <c r="L181" t="s">
        <v>157</v>
      </c>
      <c r="M181" t="s">
        <v>554</v>
      </c>
      <c r="N181" t="s">
        <v>156</v>
      </c>
      <c r="O181" s="209" t="s">
        <v>139</v>
      </c>
      <c r="P181" s="209" t="s">
        <v>139</v>
      </c>
      <c r="Q181" t="s">
        <v>51</v>
      </c>
      <c r="R181" t="s">
        <v>51</v>
      </c>
      <c r="S181" t="s">
        <v>51</v>
      </c>
      <c r="T181" t="s">
        <v>51</v>
      </c>
    </row>
    <row r="182" spans="1:20">
      <c r="A182" t="s">
        <v>152</v>
      </c>
      <c r="B182" t="s">
        <v>153</v>
      </c>
      <c r="C182" t="s">
        <v>49</v>
      </c>
      <c r="D182" t="s">
        <v>50</v>
      </c>
      <c r="E182" t="s">
        <v>51</v>
      </c>
      <c r="F182" t="s">
        <v>51</v>
      </c>
      <c r="G182" t="s">
        <v>52</v>
      </c>
      <c r="H182" t="s">
        <v>52</v>
      </c>
      <c r="I182" t="s">
        <v>52</v>
      </c>
      <c r="J182" t="s">
        <v>52</v>
      </c>
      <c r="K182" t="s">
        <v>52</v>
      </c>
      <c r="L182" t="s">
        <v>157</v>
      </c>
      <c r="M182" t="s">
        <v>554</v>
      </c>
      <c r="N182" t="s">
        <v>156</v>
      </c>
      <c r="O182" s="209" t="s">
        <v>139</v>
      </c>
      <c r="P182" s="209" t="s">
        <v>139</v>
      </c>
      <c r="Q182" t="s">
        <v>51</v>
      </c>
      <c r="R182" t="s">
        <v>51</v>
      </c>
      <c r="S182" t="s">
        <v>51</v>
      </c>
      <c r="T182" t="s">
        <v>51</v>
      </c>
    </row>
    <row r="183" spans="1:20">
      <c r="A183" t="s">
        <v>47</v>
      </c>
      <c r="B183" t="s">
        <v>48</v>
      </c>
      <c r="C183" t="s">
        <v>49</v>
      </c>
      <c r="D183" t="s">
        <v>50</v>
      </c>
      <c r="E183" t="s">
        <v>51</v>
      </c>
      <c r="F183" t="s">
        <v>51</v>
      </c>
      <c r="G183" t="s">
        <v>52</v>
      </c>
      <c r="H183" t="s">
        <v>52</v>
      </c>
      <c r="I183" t="s">
        <v>52</v>
      </c>
      <c r="J183" t="s">
        <v>52</v>
      </c>
      <c r="K183" t="s">
        <v>52</v>
      </c>
      <c r="L183" t="s">
        <v>158</v>
      </c>
      <c r="M183" t="s">
        <v>555</v>
      </c>
      <c r="N183" t="s">
        <v>156</v>
      </c>
      <c r="O183" s="209" t="s">
        <v>145</v>
      </c>
      <c r="P183" s="209" t="s">
        <v>145</v>
      </c>
      <c r="Q183" t="s">
        <v>51</v>
      </c>
      <c r="R183" t="s">
        <v>51</v>
      </c>
      <c r="S183" t="s">
        <v>51</v>
      </c>
      <c r="T183" t="s">
        <v>51</v>
      </c>
    </row>
    <row r="184" spans="1:20">
      <c r="A184" t="s">
        <v>57</v>
      </c>
      <c r="B184" t="s">
        <v>58</v>
      </c>
      <c r="C184" t="s">
        <v>49</v>
      </c>
      <c r="D184" t="s">
        <v>50</v>
      </c>
      <c r="E184" t="s">
        <v>51</v>
      </c>
      <c r="F184" t="s">
        <v>51</v>
      </c>
      <c r="G184" t="s">
        <v>52</v>
      </c>
      <c r="H184" t="s">
        <v>52</v>
      </c>
      <c r="I184" t="s">
        <v>52</v>
      </c>
      <c r="J184" t="s">
        <v>52</v>
      </c>
      <c r="K184" t="s">
        <v>52</v>
      </c>
      <c r="L184" t="s">
        <v>158</v>
      </c>
      <c r="M184" t="s">
        <v>555</v>
      </c>
      <c r="N184" t="s">
        <v>156</v>
      </c>
      <c r="O184" s="209" t="s">
        <v>145</v>
      </c>
      <c r="P184" s="209" t="s">
        <v>145</v>
      </c>
      <c r="Q184" t="s">
        <v>51</v>
      </c>
      <c r="R184" t="s">
        <v>51</v>
      </c>
      <c r="S184" t="s">
        <v>51</v>
      </c>
      <c r="T184" t="s">
        <v>51</v>
      </c>
    </row>
    <row r="185" spans="1:20">
      <c r="A185" t="s">
        <v>59</v>
      </c>
      <c r="B185" t="s">
        <v>60</v>
      </c>
      <c r="C185" t="s">
        <v>49</v>
      </c>
      <c r="D185" t="s">
        <v>50</v>
      </c>
      <c r="E185" t="s">
        <v>51</v>
      </c>
      <c r="F185" t="s">
        <v>51</v>
      </c>
      <c r="G185" t="s">
        <v>52</v>
      </c>
      <c r="H185" t="s">
        <v>52</v>
      </c>
      <c r="I185" t="s">
        <v>52</v>
      </c>
      <c r="J185" t="s">
        <v>52</v>
      </c>
      <c r="K185" t="s">
        <v>52</v>
      </c>
      <c r="L185" t="s">
        <v>158</v>
      </c>
      <c r="M185" t="s">
        <v>555</v>
      </c>
      <c r="N185" t="s">
        <v>156</v>
      </c>
      <c r="O185" s="209" t="s">
        <v>145</v>
      </c>
      <c r="P185" s="209" t="s">
        <v>145</v>
      </c>
      <c r="Q185" t="s">
        <v>51</v>
      </c>
      <c r="R185" t="s">
        <v>51</v>
      </c>
      <c r="S185" t="s">
        <v>51</v>
      </c>
      <c r="T185" t="s">
        <v>51</v>
      </c>
    </row>
    <row r="186" spans="1:20">
      <c r="A186" t="s">
        <v>61</v>
      </c>
      <c r="B186" t="s">
        <v>62</v>
      </c>
      <c r="C186" t="s">
        <v>49</v>
      </c>
      <c r="D186" t="s">
        <v>50</v>
      </c>
      <c r="E186" t="s">
        <v>51</v>
      </c>
      <c r="F186" t="s">
        <v>51</v>
      </c>
      <c r="G186" t="s">
        <v>52</v>
      </c>
      <c r="H186" t="s">
        <v>52</v>
      </c>
      <c r="I186" t="s">
        <v>52</v>
      </c>
      <c r="J186" t="s">
        <v>52</v>
      </c>
      <c r="K186" t="s">
        <v>52</v>
      </c>
      <c r="L186" t="s">
        <v>158</v>
      </c>
      <c r="M186" t="s">
        <v>555</v>
      </c>
      <c r="N186" t="s">
        <v>156</v>
      </c>
      <c r="O186" s="209" t="s">
        <v>145</v>
      </c>
      <c r="P186" s="209" t="s">
        <v>145</v>
      </c>
      <c r="Q186" t="s">
        <v>51</v>
      </c>
      <c r="R186" t="s">
        <v>51</v>
      </c>
      <c r="S186" t="s">
        <v>51</v>
      </c>
      <c r="T186" t="s">
        <v>51</v>
      </c>
    </row>
    <row r="187" spans="1:20">
      <c r="A187" t="s">
        <v>63</v>
      </c>
      <c r="B187" t="s">
        <v>56</v>
      </c>
      <c r="C187" t="s">
        <v>49</v>
      </c>
      <c r="D187" t="s">
        <v>50</v>
      </c>
      <c r="E187" t="s">
        <v>51</v>
      </c>
      <c r="F187" t="s">
        <v>51</v>
      </c>
      <c r="G187" t="s">
        <v>52</v>
      </c>
      <c r="H187" t="s">
        <v>52</v>
      </c>
      <c r="I187" t="s">
        <v>52</v>
      </c>
      <c r="J187" t="s">
        <v>52</v>
      </c>
      <c r="K187" t="s">
        <v>52</v>
      </c>
      <c r="L187" t="s">
        <v>158</v>
      </c>
      <c r="M187" t="s">
        <v>555</v>
      </c>
      <c r="N187" t="s">
        <v>156</v>
      </c>
      <c r="O187" s="209" t="s">
        <v>145</v>
      </c>
      <c r="P187" s="209" t="s">
        <v>145</v>
      </c>
      <c r="Q187" t="s">
        <v>51</v>
      </c>
      <c r="R187" t="s">
        <v>51</v>
      </c>
      <c r="S187" t="s">
        <v>51</v>
      </c>
      <c r="T187" t="s">
        <v>51</v>
      </c>
    </row>
    <row r="188" spans="1:20">
      <c r="A188" t="s">
        <v>64</v>
      </c>
      <c r="B188" t="s">
        <v>65</v>
      </c>
      <c r="C188" t="s">
        <v>49</v>
      </c>
      <c r="D188" t="s">
        <v>50</v>
      </c>
      <c r="E188" t="s">
        <v>51</v>
      </c>
      <c r="F188" t="s">
        <v>51</v>
      </c>
      <c r="G188" t="s">
        <v>52</v>
      </c>
      <c r="H188" t="s">
        <v>52</v>
      </c>
      <c r="I188" t="s">
        <v>52</v>
      </c>
      <c r="J188" t="s">
        <v>52</v>
      </c>
      <c r="K188" t="s">
        <v>52</v>
      </c>
      <c r="L188" t="s">
        <v>158</v>
      </c>
      <c r="M188" t="s">
        <v>555</v>
      </c>
      <c r="N188" t="s">
        <v>156</v>
      </c>
      <c r="O188" s="209" t="s">
        <v>145</v>
      </c>
      <c r="P188" s="209" t="s">
        <v>145</v>
      </c>
      <c r="Q188" t="s">
        <v>51</v>
      </c>
      <c r="R188" t="s">
        <v>51</v>
      </c>
      <c r="S188" t="s">
        <v>51</v>
      </c>
      <c r="T188" t="s">
        <v>51</v>
      </c>
    </row>
    <row r="189" spans="1:20">
      <c r="A189" t="s">
        <v>66</v>
      </c>
      <c r="B189" t="s">
        <v>67</v>
      </c>
      <c r="C189" t="s">
        <v>49</v>
      </c>
      <c r="D189" t="s">
        <v>50</v>
      </c>
      <c r="E189" t="s">
        <v>51</v>
      </c>
      <c r="F189" t="s">
        <v>51</v>
      </c>
      <c r="G189" t="s">
        <v>52</v>
      </c>
      <c r="H189" t="s">
        <v>52</v>
      </c>
      <c r="I189" t="s">
        <v>52</v>
      </c>
      <c r="J189" t="s">
        <v>52</v>
      </c>
      <c r="K189" t="s">
        <v>52</v>
      </c>
      <c r="L189" t="s">
        <v>158</v>
      </c>
      <c r="M189" t="s">
        <v>555</v>
      </c>
      <c r="N189" t="s">
        <v>156</v>
      </c>
      <c r="O189" s="209" t="s">
        <v>145</v>
      </c>
      <c r="P189" s="209" t="s">
        <v>145</v>
      </c>
      <c r="Q189" t="s">
        <v>51</v>
      </c>
      <c r="R189" t="s">
        <v>51</v>
      </c>
      <c r="S189" t="s">
        <v>51</v>
      </c>
      <c r="T189" t="s">
        <v>51</v>
      </c>
    </row>
    <row r="190" spans="1:20">
      <c r="A190" t="s">
        <v>68</v>
      </c>
      <c r="B190" t="s">
        <v>69</v>
      </c>
      <c r="C190" t="s">
        <v>49</v>
      </c>
      <c r="D190" t="s">
        <v>50</v>
      </c>
      <c r="E190" t="s">
        <v>51</v>
      </c>
      <c r="F190" t="s">
        <v>51</v>
      </c>
      <c r="G190" t="s">
        <v>52</v>
      </c>
      <c r="H190" t="s">
        <v>52</v>
      </c>
      <c r="I190" t="s">
        <v>52</v>
      </c>
      <c r="J190" t="s">
        <v>52</v>
      </c>
      <c r="K190" t="s">
        <v>52</v>
      </c>
      <c r="L190" t="s">
        <v>158</v>
      </c>
      <c r="M190" t="s">
        <v>555</v>
      </c>
      <c r="N190" t="s">
        <v>156</v>
      </c>
      <c r="O190" s="209" t="s">
        <v>145</v>
      </c>
      <c r="P190" s="209" t="s">
        <v>145</v>
      </c>
      <c r="Q190" t="s">
        <v>51</v>
      </c>
      <c r="R190" t="s">
        <v>51</v>
      </c>
      <c r="S190" t="s">
        <v>51</v>
      </c>
      <c r="T190" t="s">
        <v>51</v>
      </c>
    </row>
    <row r="191" spans="1:20">
      <c r="A191" t="s">
        <v>70</v>
      </c>
      <c r="B191" t="s">
        <v>71</v>
      </c>
      <c r="C191" t="s">
        <v>49</v>
      </c>
      <c r="D191" t="s">
        <v>50</v>
      </c>
      <c r="E191" t="s">
        <v>51</v>
      </c>
      <c r="F191" t="s">
        <v>51</v>
      </c>
      <c r="G191" t="s">
        <v>52</v>
      </c>
      <c r="H191" t="s">
        <v>52</v>
      </c>
      <c r="I191" t="s">
        <v>52</v>
      </c>
      <c r="J191" t="s">
        <v>52</v>
      </c>
      <c r="K191" t="s">
        <v>52</v>
      </c>
      <c r="L191" t="s">
        <v>158</v>
      </c>
      <c r="M191" t="s">
        <v>555</v>
      </c>
      <c r="N191" t="s">
        <v>156</v>
      </c>
      <c r="O191" s="209" t="s">
        <v>145</v>
      </c>
      <c r="P191" s="209" t="s">
        <v>145</v>
      </c>
      <c r="Q191" t="s">
        <v>51</v>
      </c>
      <c r="R191" t="s">
        <v>51</v>
      </c>
      <c r="S191" t="s">
        <v>51</v>
      </c>
      <c r="T191" t="s">
        <v>51</v>
      </c>
    </row>
    <row r="192" spans="1:20">
      <c r="A192" t="s">
        <v>72</v>
      </c>
      <c r="B192" t="s">
        <v>73</v>
      </c>
      <c r="C192" t="s">
        <v>49</v>
      </c>
      <c r="D192" t="s">
        <v>50</v>
      </c>
      <c r="E192" t="s">
        <v>51</v>
      </c>
      <c r="F192" t="s">
        <v>51</v>
      </c>
      <c r="G192" t="s">
        <v>52</v>
      </c>
      <c r="H192" t="s">
        <v>52</v>
      </c>
      <c r="I192" t="s">
        <v>52</v>
      </c>
      <c r="J192" t="s">
        <v>52</v>
      </c>
      <c r="K192" t="s">
        <v>52</v>
      </c>
      <c r="L192" t="s">
        <v>158</v>
      </c>
      <c r="M192" t="s">
        <v>555</v>
      </c>
      <c r="N192" t="s">
        <v>156</v>
      </c>
      <c r="O192" s="209" t="s">
        <v>145</v>
      </c>
      <c r="P192" s="209" t="s">
        <v>145</v>
      </c>
      <c r="Q192" t="s">
        <v>51</v>
      </c>
      <c r="R192" t="s">
        <v>51</v>
      </c>
      <c r="S192" t="s">
        <v>51</v>
      </c>
      <c r="T192" t="s">
        <v>51</v>
      </c>
    </row>
    <row r="193" spans="1:20">
      <c r="A193" t="s">
        <v>74</v>
      </c>
      <c r="B193" t="s">
        <v>75</v>
      </c>
      <c r="C193" t="s">
        <v>49</v>
      </c>
      <c r="D193" t="s">
        <v>50</v>
      </c>
      <c r="E193" t="s">
        <v>51</v>
      </c>
      <c r="F193" t="s">
        <v>51</v>
      </c>
      <c r="G193" t="s">
        <v>52</v>
      </c>
      <c r="H193" t="s">
        <v>52</v>
      </c>
      <c r="I193" t="s">
        <v>52</v>
      </c>
      <c r="J193" t="s">
        <v>52</v>
      </c>
      <c r="K193" t="s">
        <v>52</v>
      </c>
      <c r="L193" t="s">
        <v>158</v>
      </c>
      <c r="M193" t="s">
        <v>555</v>
      </c>
      <c r="N193" t="s">
        <v>156</v>
      </c>
      <c r="O193" s="209" t="s">
        <v>145</v>
      </c>
      <c r="P193" s="209" t="s">
        <v>145</v>
      </c>
      <c r="Q193" t="s">
        <v>51</v>
      </c>
      <c r="R193" t="s">
        <v>51</v>
      </c>
      <c r="S193" t="s">
        <v>51</v>
      </c>
      <c r="T193" t="s">
        <v>51</v>
      </c>
    </row>
    <row r="194" spans="1:20">
      <c r="A194" t="s">
        <v>76</v>
      </c>
      <c r="B194" t="s">
        <v>77</v>
      </c>
      <c r="C194" t="s">
        <v>49</v>
      </c>
      <c r="D194" t="s">
        <v>50</v>
      </c>
      <c r="E194" t="s">
        <v>51</v>
      </c>
      <c r="F194" t="s">
        <v>51</v>
      </c>
      <c r="G194" t="s">
        <v>52</v>
      </c>
      <c r="H194" t="s">
        <v>52</v>
      </c>
      <c r="I194" t="s">
        <v>52</v>
      </c>
      <c r="J194" t="s">
        <v>52</v>
      </c>
      <c r="K194" t="s">
        <v>52</v>
      </c>
      <c r="L194" t="s">
        <v>158</v>
      </c>
      <c r="M194" t="s">
        <v>555</v>
      </c>
      <c r="N194" t="s">
        <v>156</v>
      </c>
      <c r="O194" s="209" t="s">
        <v>145</v>
      </c>
      <c r="P194" s="209" t="s">
        <v>145</v>
      </c>
      <c r="Q194" t="s">
        <v>51</v>
      </c>
      <c r="R194" t="s">
        <v>51</v>
      </c>
      <c r="S194" t="s">
        <v>51</v>
      </c>
      <c r="T194" t="s">
        <v>51</v>
      </c>
    </row>
    <row r="195" spans="1:20">
      <c r="A195" t="s">
        <v>78</v>
      </c>
      <c r="B195" t="s">
        <v>79</v>
      </c>
      <c r="C195" t="s">
        <v>49</v>
      </c>
      <c r="D195" t="s">
        <v>50</v>
      </c>
      <c r="E195" t="s">
        <v>51</v>
      </c>
      <c r="F195" t="s">
        <v>51</v>
      </c>
      <c r="G195" t="s">
        <v>52</v>
      </c>
      <c r="H195" t="s">
        <v>52</v>
      </c>
      <c r="I195" t="s">
        <v>52</v>
      </c>
      <c r="J195" t="s">
        <v>52</v>
      </c>
      <c r="K195" t="s">
        <v>52</v>
      </c>
      <c r="L195" t="s">
        <v>158</v>
      </c>
      <c r="M195" t="s">
        <v>555</v>
      </c>
      <c r="N195" t="s">
        <v>156</v>
      </c>
      <c r="O195" s="209" t="s">
        <v>145</v>
      </c>
      <c r="P195" s="209" t="s">
        <v>145</v>
      </c>
      <c r="Q195" t="s">
        <v>51</v>
      </c>
      <c r="R195" t="s">
        <v>51</v>
      </c>
      <c r="S195" t="s">
        <v>51</v>
      </c>
      <c r="T195" t="s">
        <v>51</v>
      </c>
    </row>
    <row r="196" spans="1:20">
      <c r="A196" t="s">
        <v>80</v>
      </c>
      <c r="B196" t="s">
        <v>81</v>
      </c>
      <c r="C196" t="s">
        <v>49</v>
      </c>
      <c r="D196" t="s">
        <v>50</v>
      </c>
      <c r="E196" t="s">
        <v>51</v>
      </c>
      <c r="F196" t="s">
        <v>51</v>
      </c>
      <c r="G196" t="s">
        <v>52</v>
      </c>
      <c r="H196" t="s">
        <v>52</v>
      </c>
      <c r="I196" t="s">
        <v>52</v>
      </c>
      <c r="J196" t="s">
        <v>52</v>
      </c>
      <c r="K196" t="s">
        <v>52</v>
      </c>
      <c r="L196" t="s">
        <v>158</v>
      </c>
      <c r="M196" t="s">
        <v>555</v>
      </c>
      <c r="N196" t="s">
        <v>156</v>
      </c>
      <c r="O196" s="209" t="s">
        <v>145</v>
      </c>
      <c r="P196" s="209" t="s">
        <v>145</v>
      </c>
      <c r="Q196" t="s">
        <v>51</v>
      </c>
      <c r="R196" t="s">
        <v>51</v>
      </c>
      <c r="S196" t="s">
        <v>51</v>
      </c>
      <c r="T196" t="s">
        <v>51</v>
      </c>
    </row>
    <row r="197" spans="1:20">
      <c r="A197" t="s">
        <v>82</v>
      </c>
      <c r="B197" t="s">
        <v>83</v>
      </c>
      <c r="C197" t="s">
        <v>49</v>
      </c>
      <c r="D197" t="s">
        <v>50</v>
      </c>
      <c r="E197" t="s">
        <v>51</v>
      </c>
      <c r="F197" t="s">
        <v>51</v>
      </c>
      <c r="G197" t="s">
        <v>52</v>
      </c>
      <c r="H197" t="s">
        <v>52</v>
      </c>
      <c r="I197" t="s">
        <v>52</v>
      </c>
      <c r="J197" t="s">
        <v>52</v>
      </c>
      <c r="K197" t="s">
        <v>52</v>
      </c>
      <c r="L197" t="s">
        <v>158</v>
      </c>
      <c r="M197" t="s">
        <v>555</v>
      </c>
      <c r="N197" t="s">
        <v>156</v>
      </c>
      <c r="O197" s="209" t="s">
        <v>145</v>
      </c>
      <c r="P197" s="209" t="s">
        <v>145</v>
      </c>
      <c r="Q197" t="s">
        <v>51</v>
      </c>
      <c r="R197" t="s">
        <v>51</v>
      </c>
      <c r="S197" t="s">
        <v>51</v>
      </c>
      <c r="T197" t="s">
        <v>51</v>
      </c>
    </row>
    <row r="198" spans="1:20">
      <c r="A198" t="s">
        <v>84</v>
      </c>
      <c r="B198" t="s">
        <v>85</v>
      </c>
      <c r="C198" t="s">
        <v>49</v>
      </c>
      <c r="D198" t="s">
        <v>50</v>
      </c>
      <c r="E198" t="s">
        <v>51</v>
      </c>
      <c r="F198" t="s">
        <v>51</v>
      </c>
      <c r="G198" t="s">
        <v>52</v>
      </c>
      <c r="H198" t="s">
        <v>52</v>
      </c>
      <c r="I198" t="s">
        <v>52</v>
      </c>
      <c r="J198" t="s">
        <v>52</v>
      </c>
      <c r="K198" t="s">
        <v>52</v>
      </c>
      <c r="L198" t="s">
        <v>158</v>
      </c>
      <c r="M198" t="s">
        <v>555</v>
      </c>
      <c r="N198" t="s">
        <v>156</v>
      </c>
      <c r="O198" s="209" t="s">
        <v>145</v>
      </c>
      <c r="P198" s="209" t="s">
        <v>145</v>
      </c>
      <c r="Q198" t="s">
        <v>51</v>
      </c>
      <c r="R198" t="s">
        <v>51</v>
      </c>
      <c r="S198" t="s">
        <v>51</v>
      </c>
      <c r="T198" t="s">
        <v>51</v>
      </c>
    </row>
    <row r="199" spans="1:20">
      <c r="A199" t="s">
        <v>86</v>
      </c>
      <c r="B199" t="s">
        <v>87</v>
      </c>
      <c r="C199" t="s">
        <v>49</v>
      </c>
      <c r="D199" t="s">
        <v>50</v>
      </c>
      <c r="E199" t="s">
        <v>51</v>
      </c>
      <c r="F199" t="s">
        <v>51</v>
      </c>
      <c r="G199" t="s">
        <v>52</v>
      </c>
      <c r="H199" t="s">
        <v>52</v>
      </c>
      <c r="I199" t="s">
        <v>52</v>
      </c>
      <c r="J199" t="s">
        <v>52</v>
      </c>
      <c r="K199" t="s">
        <v>52</v>
      </c>
      <c r="L199" t="s">
        <v>158</v>
      </c>
      <c r="M199" t="s">
        <v>555</v>
      </c>
      <c r="N199" t="s">
        <v>156</v>
      </c>
      <c r="O199" s="209" t="s">
        <v>145</v>
      </c>
      <c r="P199" s="209" t="s">
        <v>145</v>
      </c>
      <c r="Q199" t="s">
        <v>51</v>
      </c>
      <c r="R199" t="s">
        <v>51</v>
      </c>
      <c r="S199" t="s">
        <v>51</v>
      </c>
      <c r="T199" t="s">
        <v>51</v>
      </c>
    </row>
    <row r="200" spans="1:20">
      <c r="A200" t="s">
        <v>88</v>
      </c>
      <c r="B200" t="s">
        <v>89</v>
      </c>
      <c r="C200" t="s">
        <v>49</v>
      </c>
      <c r="D200" t="s">
        <v>50</v>
      </c>
      <c r="E200" t="s">
        <v>51</v>
      </c>
      <c r="F200" t="s">
        <v>51</v>
      </c>
      <c r="G200" t="s">
        <v>52</v>
      </c>
      <c r="H200" t="s">
        <v>52</v>
      </c>
      <c r="I200" t="s">
        <v>52</v>
      </c>
      <c r="J200" t="s">
        <v>52</v>
      </c>
      <c r="K200" t="s">
        <v>52</v>
      </c>
      <c r="L200" t="s">
        <v>158</v>
      </c>
      <c r="M200" t="s">
        <v>555</v>
      </c>
      <c r="N200" t="s">
        <v>156</v>
      </c>
      <c r="O200" s="209" t="s">
        <v>145</v>
      </c>
      <c r="P200" s="209" t="s">
        <v>145</v>
      </c>
      <c r="Q200" t="s">
        <v>51</v>
      </c>
      <c r="R200" t="s">
        <v>51</v>
      </c>
      <c r="S200" t="s">
        <v>51</v>
      </c>
      <c r="T200" t="s">
        <v>51</v>
      </c>
    </row>
    <row r="201" spans="1:20">
      <c r="A201" t="s">
        <v>90</v>
      </c>
      <c r="B201" t="s">
        <v>91</v>
      </c>
      <c r="C201" t="s">
        <v>49</v>
      </c>
      <c r="D201" t="s">
        <v>50</v>
      </c>
      <c r="E201" t="s">
        <v>51</v>
      </c>
      <c r="F201" t="s">
        <v>51</v>
      </c>
      <c r="G201" t="s">
        <v>52</v>
      </c>
      <c r="H201" t="s">
        <v>52</v>
      </c>
      <c r="I201" t="s">
        <v>52</v>
      </c>
      <c r="J201" t="s">
        <v>52</v>
      </c>
      <c r="K201" t="s">
        <v>52</v>
      </c>
      <c r="L201" t="s">
        <v>158</v>
      </c>
      <c r="M201" t="s">
        <v>555</v>
      </c>
      <c r="N201" t="s">
        <v>156</v>
      </c>
      <c r="O201" s="209" t="s">
        <v>145</v>
      </c>
      <c r="P201" s="209" t="s">
        <v>145</v>
      </c>
      <c r="Q201" t="s">
        <v>51</v>
      </c>
      <c r="R201" t="s">
        <v>51</v>
      </c>
      <c r="S201" t="s">
        <v>51</v>
      </c>
      <c r="T201" t="s">
        <v>51</v>
      </c>
    </row>
    <row r="202" spans="1:20">
      <c r="A202" t="s">
        <v>92</v>
      </c>
      <c r="B202" t="s">
        <v>93</v>
      </c>
      <c r="C202" t="s">
        <v>49</v>
      </c>
      <c r="D202" t="s">
        <v>50</v>
      </c>
      <c r="E202" t="s">
        <v>51</v>
      </c>
      <c r="F202" t="s">
        <v>51</v>
      </c>
      <c r="G202" t="s">
        <v>52</v>
      </c>
      <c r="H202" t="s">
        <v>52</v>
      </c>
      <c r="I202" t="s">
        <v>52</v>
      </c>
      <c r="J202" t="s">
        <v>52</v>
      </c>
      <c r="K202" t="s">
        <v>52</v>
      </c>
      <c r="L202" t="s">
        <v>158</v>
      </c>
      <c r="M202" t="s">
        <v>555</v>
      </c>
      <c r="N202" t="s">
        <v>156</v>
      </c>
      <c r="O202" s="209" t="s">
        <v>145</v>
      </c>
      <c r="P202" s="209" t="s">
        <v>145</v>
      </c>
      <c r="Q202" t="s">
        <v>51</v>
      </c>
      <c r="R202" t="s">
        <v>51</v>
      </c>
      <c r="S202" t="s">
        <v>51</v>
      </c>
      <c r="T202" t="s">
        <v>51</v>
      </c>
    </row>
    <row r="203" spans="1:20">
      <c r="A203" t="s">
        <v>94</v>
      </c>
      <c r="B203" t="s">
        <v>95</v>
      </c>
      <c r="C203" t="s">
        <v>49</v>
      </c>
      <c r="D203" t="s">
        <v>50</v>
      </c>
      <c r="E203" t="s">
        <v>51</v>
      </c>
      <c r="F203" t="s">
        <v>51</v>
      </c>
      <c r="G203" t="s">
        <v>52</v>
      </c>
      <c r="H203" t="s">
        <v>52</v>
      </c>
      <c r="I203" t="s">
        <v>52</v>
      </c>
      <c r="J203" t="s">
        <v>52</v>
      </c>
      <c r="K203" t="s">
        <v>52</v>
      </c>
      <c r="L203" t="s">
        <v>158</v>
      </c>
      <c r="M203" t="s">
        <v>555</v>
      </c>
      <c r="N203" t="s">
        <v>156</v>
      </c>
      <c r="O203" s="209" t="s">
        <v>145</v>
      </c>
      <c r="P203" s="209" t="s">
        <v>145</v>
      </c>
      <c r="Q203" t="s">
        <v>51</v>
      </c>
      <c r="R203" t="s">
        <v>51</v>
      </c>
      <c r="S203" t="s">
        <v>51</v>
      </c>
      <c r="T203" t="s">
        <v>51</v>
      </c>
    </row>
    <row r="204" spans="1:20">
      <c r="A204" t="s">
        <v>96</v>
      </c>
      <c r="B204" t="s">
        <v>97</v>
      </c>
      <c r="C204" t="s">
        <v>49</v>
      </c>
      <c r="D204" t="s">
        <v>50</v>
      </c>
      <c r="E204" t="s">
        <v>51</v>
      </c>
      <c r="F204" t="s">
        <v>51</v>
      </c>
      <c r="G204" t="s">
        <v>52</v>
      </c>
      <c r="H204" t="s">
        <v>52</v>
      </c>
      <c r="I204" t="s">
        <v>52</v>
      </c>
      <c r="J204" t="s">
        <v>52</v>
      </c>
      <c r="K204" t="s">
        <v>52</v>
      </c>
      <c r="L204" t="s">
        <v>158</v>
      </c>
      <c r="M204" t="s">
        <v>555</v>
      </c>
      <c r="N204" t="s">
        <v>156</v>
      </c>
      <c r="O204" s="209" t="s">
        <v>145</v>
      </c>
      <c r="P204" s="209" t="s">
        <v>145</v>
      </c>
      <c r="Q204" t="s">
        <v>51</v>
      </c>
      <c r="R204" t="s">
        <v>51</v>
      </c>
      <c r="S204" t="s">
        <v>51</v>
      </c>
      <c r="T204" t="s">
        <v>51</v>
      </c>
    </row>
    <row r="205" spans="1:20">
      <c r="A205" t="s">
        <v>98</v>
      </c>
      <c r="B205" t="s">
        <v>99</v>
      </c>
      <c r="C205" t="s">
        <v>49</v>
      </c>
      <c r="D205" t="s">
        <v>50</v>
      </c>
      <c r="E205" t="s">
        <v>51</v>
      </c>
      <c r="F205" t="s">
        <v>51</v>
      </c>
      <c r="G205" t="s">
        <v>52</v>
      </c>
      <c r="H205" t="s">
        <v>52</v>
      </c>
      <c r="I205" t="s">
        <v>52</v>
      </c>
      <c r="J205" t="s">
        <v>52</v>
      </c>
      <c r="K205" t="s">
        <v>52</v>
      </c>
      <c r="L205" t="s">
        <v>158</v>
      </c>
      <c r="M205" t="s">
        <v>555</v>
      </c>
      <c r="N205" t="s">
        <v>156</v>
      </c>
      <c r="O205" s="209" t="s">
        <v>145</v>
      </c>
      <c r="P205" s="209" t="s">
        <v>145</v>
      </c>
      <c r="Q205" t="s">
        <v>51</v>
      </c>
      <c r="R205" t="s">
        <v>51</v>
      </c>
      <c r="S205" t="s">
        <v>51</v>
      </c>
      <c r="T205" t="s">
        <v>51</v>
      </c>
    </row>
    <row r="206" spans="1:20">
      <c r="A206" t="s">
        <v>100</v>
      </c>
      <c r="B206" t="s">
        <v>101</v>
      </c>
      <c r="C206" t="s">
        <v>49</v>
      </c>
      <c r="D206" t="s">
        <v>50</v>
      </c>
      <c r="E206" t="s">
        <v>51</v>
      </c>
      <c r="F206" t="s">
        <v>51</v>
      </c>
      <c r="G206" t="s">
        <v>52</v>
      </c>
      <c r="H206" t="s">
        <v>52</v>
      </c>
      <c r="I206" t="s">
        <v>52</v>
      </c>
      <c r="J206" t="s">
        <v>52</v>
      </c>
      <c r="K206" t="s">
        <v>52</v>
      </c>
      <c r="L206" t="s">
        <v>158</v>
      </c>
      <c r="M206" t="s">
        <v>555</v>
      </c>
      <c r="N206" t="s">
        <v>156</v>
      </c>
      <c r="O206" s="209" t="s">
        <v>145</v>
      </c>
      <c r="P206" s="209" t="s">
        <v>145</v>
      </c>
      <c r="Q206" t="s">
        <v>51</v>
      </c>
      <c r="R206" t="s">
        <v>51</v>
      </c>
      <c r="S206" t="s">
        <v>51</v>
      </c>
      <c r="T206" t="s">
        <v>51</v>
      </c>
    </row>
    <row r="207" spans="1:20">
      <c r="A207" t="s">
        <v>102</v>
      </c>
      <c r="B207" t="s">
        <v>103</v>
      </c>
      <c r="C207" t="s">
        <v>49</v>
      </c>
      <c r="D207" t="s">
        <v>50</v>
      </c>
      <c r="E207" t="s">
        <v>51</v>
      </c>
      <c r="F207" t="s">
        <v>51</v>
      </c>
      <c r="G207" t="s">
        <v>52</v>
      </c>
      <c r="H207" t="s">
        <v>52</v>
      </c>
      <c r="I207" t="s">
        <v>52</v>
      </c>
      <c r="J207" t="s">
        <v>52</v>
      </c>
      <c r="K207" t="s">
        <v>52</v>
      </c>
      <c r="L207" t="s">
        <v>158</v>
      </c>
      <c r="M207" t="s">
        <v>555</v>
      </c>
      <c r="N207" t="s">
        <v>156</v>
      </c>
      <c r="O207" s="209" t="s">
        <v>145</v>
      </c>
      <c r="P207" s="209" t="s">
        <v>145</v>
      </c>
      <c r="Q207" t="s">
        <v>51</v>
      </c>
      <c r="R207" t="s">
        <v>51</v>
      </c>
      <c r="S207" t="s">
        <v>51</v>
      </c>
      <c r="T207" t="s">
        <v>51</v>
      </c>
    </row>
    <row r="208" spans="1:20">
      <c r="A208" t="s">
        <v>104</v>
      </c>
      <c r="B208" t="s">
        <v>105</v>
      </c>
      <c r="C208" t="s">
        <v>49</v>
      </c>
      <c r="D208" t="s">
        <v>50</v>
      </c>
      <c r="E208" t="s">
        <v>51</v>
      </c>
      <c r="F208" t="s">
        <v>51</v>
      </c>
      <c r="G208" t="s">
        <v>52</v>
      </c>
      <c r="H208" t="s">
        <v>52</v>
      </c>
      <c r="I208" t="s">
        <v>52</v>
      </c>
      <c r="J208" t="s">
        <v>52</v>
      </c>
      <c r="K208" t="s">
        <v>52</v>
      </c>
      <c r="L208" t="s">
        <v>158</v>
      </c>
      <c r="M208" t="s">
        <v>555</v>
      </c>
      <c r="N208" t="s">
        <v>156</v>
      </c>
      <c r="O208" s="209" t="s">
        <v>145</v>
      </c>
      <c r="P208" s="209" t="s">
        <v>145</v>
      </c>
      <c r="Q208" t="s">
        <v>51</v>
      </c>
      <c r="R208" t="s">
        <v>51</v>
      </c>
      <c r="S208" t="s">
        <v>51</v>
      </c>
      <c r="T208" t="s">
        <v>51</v>
      </c>
    </row>
    <row r="209" spans="1:20">
      <c r="A209" t="s">
        <v>106</v>
      </c>
      <c r="B209" t="s">
        <v>107</v>
      </c>
      <c r="C209" t="s">
        <v>49</v>
      </c>
      <c r="D209" t="s">
        <v>50</v>
      </c>
      <c r="E209" t="s">
        <v>51</v>
      </c>
      <c r="F209" t="s">
        <v>51</v>
      </c>
      <c r="G209" t="s">
        <v>52</v>
      </c>
      <c r="H209" t="s">
        <v>52</v>
      </c>
      <c r="I209" t="s">
        <v>52</v>
      </c>
      <c r="J209" t="s">
        <v>52</v>
      </c>
      <c r="K209" t="s">
        <v>52</v>
      </c>
      <c r="L209" t="s">
        <v>158</v>
      </c>
      <c r="M209" t="s">
        <v>555</v>
      </c>
      <c r="N209" t="s">
        <v>156</v>
      </c>
      <c r="O209" s="209" t="s">
        <v>145</v>
      </c>
      <c r="P209" s="209" t="s">
        <v>145</v>
      </c>
      <c r="Q209" t="s">
        <v>51</v>
      </c>
      <c r="R209" t="s">
        <v>51</v>
      </c>
      <c r="S209" t="s">
        <v>51</v>
      </c>
      <c r="T209" t="s">
        <v>51</v>
      </c>
    </row>
    <row r="210" spans="1:20">
      <c r="A210" t="s">
        <v>108</v>
      </c>
      <c r="B210" t="s">
        <v>109</v>
      </c>
      <c r="C210" t="s">
        <v>49</v>
      </c>
      <c r="D210" t="s">
        <v>50</v>
      </c>
      <c r="E210" t="s">
        <v>51</v>
      </c>
      <c r="F210" t="s">
        <v>51</v>
      </c>
      <c r="G210" t="s">
        <v>52</v>
      </c>
      <c r="H210" t="s">
        <v>52</v>
      </c>
      <c r="I210" t="s">
        <v>52</v>
      </c>
      <c r="J210" t="s">
        <v>52</v>
      </c>
      <c r="K210" t="s">
        <v>52</v>
      </c>
      <c r="L210" t="s">
        <v>158</v>
      </c>
      <c r="M210" t="s">
        <v>555</v>
      </c>
      <c r="N210" t="s">
        <v>156</v>
      </c>
      <c r="O210" s="209" t="s">
        <v>145</v>
      </c>
      <c r="P210" s="209" t="s">
        <v>145</v>
      </c>
      <c r="Q210" t="s">
        <v>51</v>
      </c>
      <c r="R210" t="s">
        <v>51</v>
      </c>
      <c r="S210" t="s">
        <v>51</v>
      </c>
      <c r="T210" t="s">
        <v>51</v>
      </c>
    </row>
    <row r="211" spans="1:20">
      <c r="A211" t="s">
        <v>110</v>
      </c>
      <c r="B211" t="s">
        <v>111</v>
      </c>
      <c r="C211" t="s">
        <v>49</v>
      </c>
      <c r="D211" t="s">
        <v>50</v>
      </c>
      <c r="E211" t="s">
        <v>51</v>
      </c>
      <c r="F211" t="s">
        <v>51</v>
      </c>
      <c r="G211" t="s">
        <v>52</v>
      </c>
      <c r="H211" t="s">
        <v>52</v>
      </c>
      <c r="I211" t="s">
        <v>52</v>
      </c>
      <c r="J211" t="s">
        <v>52</v>
      </c>
      <c r="K211" t="s">
        <v>52</v>
      </c>
      <c r="L211" t="s">
        <v>158</v>
      </c>
      <c r="M211" t="s">
        <v>555</v>
      </c>
      <c r="N211" t="s">
        <v>156</v>
      </c>
      <c r="O211" s="209" t="s">
        <v>145</v>
      </c>
      <c r="P211" s="209" t="s">
        <v>145</v>
      </c>
      <c r="Q211" t="s">
        <v>51</v>
      </c>
      <c r="R211" t="s">
        <v>51</v>
      </c>
      <c r="S211" t="s">
        <v>51</v>
      </c>
      <c r="T211" t="s">
        <v>51</v>
      </c>
    </row>
    <row r="212" spans="1:20">
      <c r="A212" t="s">
        <v>112</v>
      </c>
      <c r="B212" t="s">
        <v>113</v>
      </c>
      <c r="C212" t="s">
        <v>49</v>
      </c>
      <c r="D212" t="s">
        <v>50</v>
      </c>
      <c r="E212" t="s">
        <v>51</v>
      </c>
      <c r="F212" t="s">
        <v>51</v>
      </c>
      <c r="G212" t="s">
        <v>52</v>
      </c>
      <c r="H212" t="s">
        <v>52</v>
      </c>
      <c r="I212" t="s">
        <v>52</v>
      </c>
      <c r="J212" t="s">
        <v>52</v>
      </c>
      <c r="K212" t="s">
        <v>52</v>
      </c>
      <c r="L212" t="s">
        <v>158</v>
      </c>
      <c r="M212" t="s">
        <v>555</v>
      </c>
      <c r="N212" t="s">
        <v>156</v>
      </c>
      <c r="O212" s="209" t="s">
        <v>145</v>
      </c>
      <c r="P212" s="209" t="s">
        <v>145</v>
      </c>
      <c r="Q212" t="s">
        <v>51</v>
      </c>
      <c r="R212" t="s">
        <v>51</v>
      </c>
      <c r="S212" t="s">
        <v>51</v>
      </c>
      <c r="T212" t="s">
        <v>51</v>
      </c>
    </row>
    <row r="213" spans="1:20">
      <c r="A213" t="s">
        <v>114</v>
      </c>
      <c r="B213" t="s">
        <v>115</v>
      </c>
      <c r="C213" t="s">
        <v>49</v>
      </c>
      <c r="D213" t="s">
        <v>50</v>
      </c>
      <c r="E213" t="s">
        <v>51</v>
      </c>
      <c r="F213" t="s">
        <v>51</v>
      </c>
      <c r="G213" t="s">
        <v>52</v>
      </c>
      <c r="H213" t="s">
        <v>52</v>
      </c>
      <c r="I213" t="s">
        <v>52</v>
      </c>
      <c r="J213" t="s">
        <v>52</v>
      </c>
      <c r="K213" t="s">
        <v>52</v>
      </c>
      <c r="L213" t="s">
        <v>158</v>
      </c>
      <c r="M213" t="s">
        <v>555</v>
      </c>
      <c r="N213" t="s">
        <v>156</v>
      </c>
      <c r="O213" s="209" t="s">
        <v>145</v>
      </c>
      <c r="P213" s="209" t="s">
        <v>145</v>
      </c>
      <c r="Q213" t="s">
        <v>51</v>
      </c>
      <c r="R213" t="s">
        <v>51</v>
      </c>
      <c r="S213" t="s">
        <v>51</v>
      </c>
      <c r="T213" t="s">
        <v>51</v>
      </c>
    </row>
    <row r="214" spans="1:20">
      <c r="A214" t="s">
        <v>116</v>
      </c>
      <c r="B214" t="s">
        <v>117</v>
      </c>
      <c r="C214" t="s">
        <v>49</v>
      </c>
      <c r="D214" t="s">
        <v>50</v>
      </c>
      <c r="E214" t="s">
        <v>51</v>
      </c>
      <c r="F214" t="s">
        <v>51</v>
      </c>
      <c r="G214" t="s">
        <v>52</v>
      </c>
      <c r="H214" t="s">
        <v>52</v>
      </c>
      <c r="I214" t="s">
        <v>52</v>
      </c>
      <c r="J214" t="s">
        <v>52</v>
      </c>
      <c r="K214" t="s">
        <v>52</v>
      </c>
      <c r="L214" t="s">
        <v>158</v>
      </c>
      <c r="M214" t="s">
        <v>555</v>
      </c>
      <c r="N214" t="s">
        <v>156</v>
      </c>
      <c r="O214" s="209" t="s">
        <v>145</v>
      </c>
      <c r="P214" s="209" t="s">
        <v>145</v>
      </c>
      <c r="Q214" t="s">
        <v>51</v>
      </c>
      <c r="R214" t="s">
        <v>51</v>
      </c>
      <c r="S214" t="s">
        <v>51</v>
      </c>
      <c r="T214" t="s">
        <v>51</v>
      </c>
    </row>
    <row r="215" spans="1:20">
      <c r="A215" t="s">
        <v>118</v>
      </c>
      <c r="B215" t="s">
        <v>119</v>
      </c>
      <c r="C215" t="s">
        <v>49</v>
      </c>
      <c r="D215" t="s">
        <v>50</v>
      </c>
      <c r="E215" t="s">
        <v>51</v>
      </c>
      <c r="F215" t="s">
        <v>51</v>
      </c>
      <c r="G215" t="s">
        <v>52</v>
      </c>
      <c r="H215" t="s">
        <v>52</v>
      </c>
      <c r="I215" t="s">
        <v>52</v>
      </c>
      <c r="J215" t="s">
        <v>52</v>
      </c>
      <c r="K215" t="s">
        <v>52</v>
      </c>
      <c r="L215" t="s">
        <v>158</v>
      </c>
      <c r="M215" t="s">
        <v>555</v>
      </c>
      <c r="N215" t="s">
        <v>156</v>
      </c>
      <c r="O215" s="209" t="s">
        <v>145</v>
      </c>
      <c r="P215" s="209" t="s">
        <v>145</v>
      </c>
      <c r="Q215" t="s">
        <v>51</v>
      </c>
      <c r="R215" t="s">
        <v>51</v>
      </c>
      <c r="S215" t="s">
        <v>51</v>
      </c>
      <c r="T215" t="s">
        <v>51</v>
      </c>
    </row>
    <row r="216" spans="1:20">
      <c r="A216" t="s">
        <v>120</v>
      </c>
      <c r="B216" t="s">
        <v>121</v>
      </c>
      <c r="C216" t="s">
        <v>49</v>
      </c>
      <c r="D216" t="s">
        <v>50</v>
      </c>
      <c r="E216" t="s">
        <v>51</v>
      </c>
      <c r="F216" t="s">
        <v>51</v>
      </c>
      <c r="G216" t="s">
        <v>52</v>
      </c>
      <c r="H216" t="s">
        <v>52</v>
      </c>
      <c r="I216" t="s">
        <v>52</v>
      </c>
      <c r="J216" t="s">
        <v>52</v>
      </c>
      <c r="K216" t="s">
        <v>52</v>
      </c>
      <c r="L216" t="s">
        <v>158</v>
      </c>
      <c r="M216" t="s">
        <v>555</v>
      </c>
      <c r="N216" t="s">
        <v>156</v>
      </c>
      <c r="O216" s="209" t="s">
        <v>145</v>
      </c>
      <c r="P216" s="209" t="s">
        <v>145</v>
      </c>
      <c r="Q216" t="s">
        <v>51</v>
      </c>
      <c r="R216" t="s">
        <v>51</v>
      </c>
      <c r="S216" t="s">
        <v>51</v>
      </c>
      <c r="T216" t="s">
        <v>51</v>
      </c>
    </row>
    <row r="217" spans="1:20">
      <c r="A217" t="s">
        <v>122</v>
      </c>
      <c r="B217" t="s">
        <v>123</v>
      </c>
      <c r="C217" t="s">
        <v>49</v>
      </c>
      <c r="D217" t="s">
        <v>50</v>
      </c>
      <c r="E217" t="s">
        <v>51</v>
      </c>
      <c r="F217" t="s">
        <v>51</v>
      </c>
      <c r="G217" t="s">
        <v>52</v>
      </c>
      <c r="H217" t="s">
        <v>52</v>
      </c>
      <c r="I217" t="s">
        <v>52</v>
      </c>
      <c r="J217" t="s">
        <v>52</v>
      </c>
      <c r="K217" t="s">
        <v>52</v>
      </c>
      <c r="L217" t="s">
        <v>158</v>
      </c>
      <c r="M217" t="s">
        <v>555</v>
      </c>
      <c r="N217" t="s">
        <v>156</v>
      </c>
      <c r="O217" s="209" t="s">
        <v>145</v>
      </c>
      <c r="P217" s="209" t="s">
        <v>145</v>
      </c>
      <c r="Q217" t="s">
        <v>51</v>
      </c>
      <c r="R217" t="s">
        <v>51</v>
      </c>
      <c r="S217" t="s">
        <v>51</v>
      </c>
      <c r="T217" t="s">
        <v>51</v>
      </c>
    </row>
    <row r="218" spans="1:20">
      <c r="A218" t="s">
        <v>124</v>
      </c>
      <c r="B218" t="s">
        <v>125</v>
      </c>
      <c r="C218" t="s">
        <v>49</v>
      </c>
      <c r="D218" t="s">
        <v>50</v>
      </c>
      <c r="E218" t="s">
        <v>51</v>
      </c>
      <c r="F218" t="s">
        <v>51</v>
      </c>
      <c r="G218" t="s">
        <v>52</v>
      </c>
      <c r="H218" t="s">
        <v>52</v>
      </c>
      <c r="I218" t="s">
        <v>52</v>
      </c>
      <c r="J218" t="s">
        <v>52</v>
      </c>
      <c r="K218" t="s">
        <v>52</v>
      </c>
      <c r="L218" t="s">
        <v>158</v>
      </c>
      <c r="M218" t="s">
        <v>555</v>
      </c>
      <c r="N218" t="s">
        <v>156</v>
      </c>
      <c r="O218" s="209" t="s">
        <v>145</v>
      </c>
      <c r="P218" s="209" t="s">
        <v>145</v>
      </c>
      <c r="Q218" t="s">
        <v>51</v>
      </c>
      <c r="R218" t="s">
        <v>51</v>
      </c>
      <c r="S218" t="s">
        <v>51</v>
      </c>
      <c r="T218" t="s">
        <v>51</v>
      </c>
    </row>
    <row r="219" spans="1:20">
      <c r="A219" t="s">
        <v>126</v>
      </c>
      <c r="B219" t="s">
        <v>127</v>
      </c>
      <c r="C219" t="s">
        <v>49</v>
      </c>
      <c r="D219" t="s">
        <v>50</v>
      </c>
      <c r="E219" t="s">
        <v>51</v>
      </c>
      <c r="F219" t="s">
        <v>51</v>
      </c>
      <c r="G219" t="s">
        <v>52</v>
      </c>
      <c r="H219" t="s">
        <v>52</v>
      </c>
      <c r="I219" t="s">
        <v>52</v>
      </c>
      <c r="J219" t="s">
        <v>52</v>
      </c>
      <c r="K219" t="s">
        <v>52</v>
      </c>
      <c r="L219" t="s">
        <v>158</v>
      </c>
      <c r="M219" t="s">
        <v>555</v>
      </c>
      <c r="N219" t="s">
        <v>156</v>
      </c>
      <c r="O219" s="209" t="s">
        <v>145</v>
      </c>
      <c r="P219" s="209" t="s">
        <v>145</v>
      </c>
      <c r="Q219" t="s">
        <v>51</v>
      </c>
      <c r="R219" t="s">
        <v>51</v>
      </c>
      <c r="S219" t="s">
        <v>51</v>
      </c>
      <c r="T219" t="s">
        <v>51</v>
      </c>
    </row>
    <row r="220" spans="1:20">
      <c r="A220" t="s">
        <v>128</v>
      </c>
      <c r="B220" t="s">
        <v>129</v>
      </c>
      <c r="C220" t="s">
        <v>49</v>
      </c>
      <c r="D220" t="s">
        <v>50</v>
      </c>
      <c r="E220" t="s">
        <v>51</v>
      </c>
      <c r="F220" t="s">
        <v>51</v>
      </c>
      <c r="G220" t="s">
        <v>52</v>
      </c>
      <c r="H220" t="s">
        <v>52</v>
      </c>
      <c r="I220" t="s">
        <v>52</v>
      </c>
      <c r="J220" t="s">
        <v>52</v>
      </c>
      <c r="K220" t="s">
        <v>52</v>
      </c>
      <c r="L220" t="s">
        <v>158</v>
      </c>
      <c r="M220" t="s">
        <v>555</v>
      </c>
      <c r="N220" t="s">
        <v>156</v>
      </c>
      <c r="O220" s="209" t="s">
        <v>145</v>
      </c>
      <c r="P220" s="209" t="s">
        <v>145</v>
      </c>
      <c r="Q220" t="s">
        <v>51</v>
      </c>
      <c r="R220" t="s">
        <v>51</v>
      </c>
      <c r="S220" t="s">
        <v>51</v>
      </c>
      <c r="T220" t="s">
        <v>51</v>
      </c>
    </row>
    <row r="221" spans="1:20">
      <c r="A221" t="s">
        <v>130</v>
      </c>
      <c r="B221" t="s">
        <v>131</v>
      </c>
      <c r="C221" t="s">
        <v>49</v>
      </c>
      <c r="D221" t="s">
        <v>50</v>
      </c>
      <c r="E221" t="s">
        <v>51</v>
      </c>
      <c r="F221" t="s">
        <v>51</v>
      </c>
      <c r="G221" t="s">
        <v>52</v>
      </c>
      <c r="H221" t="s">
        <v>52</v>
      </c>
      <c r="I221" t="s">
        <v>52</v>
      </c>
      <c r="J221" t="s">
        <v>52</v>
      </c>
      <c r="K221" t="s">
        <v>52</v>
      </c>
      <c r="L221" t="s">
        <v>158</v>
      </c>
      <c r="M221" t="s">
        <v>555</v>
      </c>
      <c r="N221" t="s">
        <v>156</v>
      </c>
      <c r="O221" s="209" t="s">
        <v>145</v>
      </c>
      <c r="P221" s="209" t="s">
        <v>145</v>
      </c>
      <c r="Q221" t="s">
        <v>51</v>
      </c>
      <c r="R221" t="s">
        <v>51</v>
      </c>
      <c r="S221" t="s">
        <v>51</v>
      </c>
      <c r="T221" t="s">
        <v>51</v>
      </c>
    </row>
    <row r="222" spans="1:20">
      <c r="A222" t="s">
        <v>132</v>
      </c>
      <c r="B222" t="s">
        <v>133</v>
      </c>
      <c r="C222" t="s">
        <v>49</v>
      </c>
      <c r="D222" t="s">
        <v>50</v>
      </c>
      <c r="E222" t="s">
        <v>51</v>
      </c>
      <c r="F222" t="s">
        <v>51</v>
      </c>
      <c r="G222" t="s">
        <v>52</v>
      </c>
      <c r="H222" t="s">
        <v>52</v>
      </c>
      <c r="I222" t="s">
        <v>52</v>
      </c>
      <c r="J222" t="s">
        <v>52</v>
      </c>
      <c r="K222" t="s">
        <v>52</v>
      </c>
      <c r="L222" t="s">
        <v>158</v>
      </c>
      <c r="M222" t="s">
        <v>555</v>
      </c>
      <c r="N222" t="s">
        <v>156</v>
      </c>
      <c r="O222" s="209" t="s">
        <v>145</v>
      </c>
      <c r="P222" s="209" t="s">
        <v>145</v>
      </c>
      <c r="Q222" t="s">
        <v>51</v>
      </c>
      <c r="R222" t="s">
        <v>51</v>
      </c>
      <c r="S222" t="s">
        <v>51</v>
      </c>
      <c r="T222" t="s">
        <v>51</v>
      </c>
    </row>
    <row r="223" spans="1:20">
      <c r="A223" t="s">
        <v>134</v>
      </c>
      <c r="B223" t="s">
        <v>135</v>
      </c>
      <c r="C223" t="s">
        <v>49</v>
      </c>
      <c r="D223" t="s">
        <v>50</v>
      </c>
      <c r="E223" t="s">
        <v>51</v>
      </c>
      <c r="F223" t="s">
        <v>51</v>
      </c>
      <c r="G223" t="s">
        <v>52</v>
      </c>
      <c r="H223" t="s">
        <v>52</v>
      </c>
      <c r="I223" t="s">
        <v>52</v>
      </c>
      <c r="J223" t="s">
        <v>52</v>
      </c>
      <c r="K223" t="s">
        <v>52</v>
      </c>
      <c r="L223" t="s">
        <v>158</v>
      </c>
      <c r="M223" t="s">
        <v>555</v>
      </c>
      <c r="N223" t="s">
        <v>156</v>
      </c>
      <c r="O223" s="209" t="s">
        <v>145</v>
      </c>
      <c r="P223" s="209" t="s">
        <v>145</v>
      </c>
      <c r="Q223" t="s">
        <v>51</v>
      </c>
      <c r="R223" t="s">
        <v>51</v>
      </c>
      <c r="S223" t="s">
        <v>51</v>
      </c>
      <c r="T223" t="s">
        <v>51</v>
      </c>
    </row>
    <row r="224" spans="1:20">
      <c r="A224" t="s">
        <v>136</v>
      </c>
      <c r="B224" t="s">
        <v>137</v>
      </c>
      <c r="C224" t="s">
        <v>49</v>
      </c>
      <c r="D224" t="s">
        <v>50</v>
      </c>
      <c r="E224" t="s">
        <v>51</v>
      </c>
      <c r="F224" t="s">
        <v>51</v>
      </c>
      <c r="G224" t="s">
        <v>52</v>
      </c>
      <c r="H224" t="s">
        <v>52</v>
      </c>
      <c r="I224" t="s">
        <v>52</v>
      </c>
      <c r="J224" t="s">
        <v>52</v>
      </c>
      <c r="K224" t="s">
        <v>52</v>
      </c>
      <c r="L224" t="s">
        <v>158</v>
      </c>
      <c r="M224" t="s">
        <v>555</v>
      </c>
      <c r="N224" t="s">
        <v>156</v>
      </c>
      <c r="O224" s="209" t="s">
        <v>145</v>
      </c>
      <c r="P224" s="209" t="s">
        <v>145</v>
      </c>
      <c r="Q224" t="s">
        <v>51</v>
      </c>
      <c r="R224" t="s">
        <v>51</v>
      </c>
      <c r="S224" t="s">
        <v>51</v>
      </c>
      <c r="T224" t="s">
        <v>51</v>
      </c>
    </row>
    <row r="225" spans="1:20">
      <c r="A225" t="s">
        <v>138</v>
      </c>
      <c r="B225" t="s">
        <v>139</v>
      </c>
      <c r="C225" t="s">
        <v>49</v>
      </c>
      <c r="D225" t="s">
        <v>50</v>
      </c>
      <c r="E225" t="s">
        <v>51</v>
      </c>
      <c r="F225" t="s">
        <v>51</v>
      </c>
      <c r="G225" t="s">
        <v>52</v>
      </c>
      <c r="H225" t="s">
        <v>52</v>
      </c>
      <c r="I225" t="s">
        <v>52</v>
      </c>
      <c r="J225" t="s">
        <v>52</v>
      </c>
      <c r="K225" t="s">
        <v>52</v>
      </c>
      <c r="L225" t="s">
        <v>158</v>
      </c>
      <c r="M225" t="s">
        <v>555</v>
      </c>
      <c r="N225" t="s">
        <v>156</v>
      </c>
      <c r="O225" s="209" t="s">
        <v>145</v>
      </c>
      <c r="P225" s="209" t="s">
        <v>145</v>
      </c>
      <c r="Q225" t="s">
        <v>51</v>
      </c>
      <c r="R225" t="s">
        <v>51</v>
      </c>
      <c r="S225" t="s">
        <v>51</v>
      </c>
      <c r="T225" t="s">
        <v>51</v>
      </c>
    </row>
    <row r="226" spans="1:20">
      <c r="A226" t="s">
        <v>140</v>
      </c>
      <c r="B226" t="s">
        <v>141</v>
      </c>
      <c r="C226" t="s">
        <v>49</v>
      </c>
      <c r="D226" t="s">
        <v>50</v>
      </c>
      <c r="E226" t="s">
        <v>51</v>
      </c>
      <c r="F226" t="s">
        <v>51</v>
      </c>
      <c r="G226" t="s">
        <v>52</v>
      </c>
      <c r="H226" t="s">
        <v>52</v>
      </c>
      <c r="I226" t="s">
        <v>52</v>
      </c>
      <c r="J226" t="s">
        <v>52</v>
      </c>
      <c r="K226" t="s">
        <v>52</v>
      </c>
      <c r="L226" t="s">
        <v>158</v>
      </c>
      <c r="M226" t="s">
        <v>555</v>
      </c>
      <c r="N226" t="s">
        <v>156</v>
      </c>
      <c r="O226" s="209" t="s">
        <v>145</v>
      </c>
      <c r="P226" s="209" t="s">
        <v>145</v>
      </c>
      <c r="Q226" t="s">
        <v>51</v>
      </c>
      <c r="R226" t="s">
        <v>51</v>
      </c>
      <c r="S226" t="s">
        <v>51</v>
      </c>
      <c r="T226" t="s">
        <v>51</v>
      </c>
    </row>
    <row r="227" spans="1:20">
      <c r="A227" t="s">
        <v>142</v>
      </c>
      <c r="B227" t="s">
        <v>143</v>
      </c>
      <c r="C227" t="s">
        <v>49</v>
      </c>
      <c r="D227" t="s">
        <v>50</v>
      </c>
      <c r="E227" t="s">
        <v>51</v>
      </c>
      <c r="F227" t="s">
        <v>51</v>
      </c>
      <c r="G227" t="s">
        <v>52</v>
      </c>
      <c r="H227" t="s">
        <v>52</v>
      </c>
      <c r="I227" t="s">
        <v>52</v>
      </c>
      <c r="J227" t="s">
        <v>52</v>
      </c>
      <c r="K227" t="s">
        <v>52</v>
      </c>
      <c r="L227" t="s">
        <v>158</v>
      </c>
      <c r="M227" t="s">
        <v>555</v>
      </c>
      <c r="N227" t="s">
        <v>156</v>
      </c>
      <c r="O227" s="209" t="s">
        <v>145</v>
      </c>
      <c r="P227" s="209" t="s">
        <v>145</v>
      </c>
      <c r="Q227" t="s">
        <v>51</v>
      </c>
      <c r="R227" t="s">
        <v>51</v>
      </c>
      <c r="S227" t="s">
        <v>51</v>
      </c>
      <c r="T227" t="s">
        <v>51</v>
      </c>
    </row>
    <row r="228" spans="1:20">
      <c r="A228" t="s">
        <v>144</v>
      </c>
      <c r="B228" t="s">
        <v>145</v>
      </c>
      <c r="C228" t="s">
        <v>49</v>
      </c>
      <c r="D228" t="s">
        <v>50</v>
      </c>
      <c r="E228" t="s">
        <v>51</v>
      </c>
      <c r="F228" t="s">
        <v>51</v>
      </c>
      <c r="G228" t="s">
        <v>52</v>
      </c>
      <c r="H228" t="s">
        <v>52</v>
      </c>
      <c r="I228" t="s">
        <v>52</v>
      </c>
      <c r="J228" t="s">
        <v>52</v>
      </c>
      <c r="K228" t="s">
        <v>52</v>
      </c>
      <c r="L228" t="s">
        <v>158</v>
      </c>
      <c r="M228" t="s">
        <v>555</v>
      </c>
      <c r="N228" t="s">
        <v>156</v>
      </c>
      <c r="O228" s="209" t="s">
        <v>145</v>
      </c>
      <c r="P228" s="209" t="s">
        <v>145</v>
      </c>
      <c r="Q228" t="s">
        <v>51</v>
      </c>
      <c r="R228" t="s">
        <v>51</v>
      </c>
      <c r="S228" t="s">
        <v>51</v>
      </c>
      <c r="T228" t="s">
        <v>51</v>
      </c>
    </row>
    <row r="229" spans="1:20">
      <c r="A229" t="s">
        <v>146</v>
      </c>
      <c r="B229" t="s">
        <v>147</v>
      </c>
      <c r="C229" t="s">
        <v>49</v>
      </c>
      <c r="D229" t="s">
        <v>50</v>
      </c>
      <c r="E229" t="s">
        <v>51</v>
      </c>
      <c r="F229" t="s">
        <v>51</v>
      </c>
      <c r="G229" t="s">
        <v>52</v>
      </c>
      <c r="H229" t="s">
        <v>52</v>
      </c>
      <c r="I229" t="s">
        <v>52</v>
      </c>
      <c r="J229" t="s">
        <v>52</v>
      </c>
      <c r="K229" t="s">
        <v>52</v>
      </c>
      <c r="L229" t="s">
        <v>158</v>
      </c>
      <c r="M229" t="s">
        <v>555</v>
      </c>
      <c r="N229" t="s">
        <v>156</v>
      </c>
      <c r="O229" s="209" t="s">
        <v>145</v>
      </c>
      <c r="P229" s="209" t="s">
        <v>145</v>
      </c>
      <c r="Q229" t="s">
        <v>51</v>
      </c>
      <c r="R229" t="s">
        <v>51</v>
      </c>
      <c r="S229" t="s">
        <v>51</v>
      </c>
      <c r="T229" t="s">
        <v>51</v>
      </c>
    </row>
    <row r="230" spans="1:20">
      <c r="A230" t="s">
        <v>148</v>
      </c>
      <c r="B230" t="s">
        <v>149</v>
      </c>
      <c r="C230" t="s">
        <v>49</v>
      </c>
      <c r="D230" t="s">
        <v>50</v>
      </c>
      <c r="E230" t="s">
        <v>51</v>
      </c>
      <c r="F230" t="s">
        <v>51</v>
      </c>
      <c r="G230" t="s">
        <v>52</v>
      </c>
      <c r="H230" t="s">
        <v>52</v>
      </c>
      <c r="I230" t="s">
        <v>52</v>
      </c>
      <c r="J230" t="s">
        <v>52</v>
      </c>
      <c r="K230" t="s">
        <v>52</v>
      </c>
      <c r="L230" t="s">
        <v>158</v>
      </c>
      <c r="M230" t="s">
        <v>555</v>
      </c>
      <c r="N230" t="s">
        <v>156</v>
      </c>
      <c r="O230" s="209" t="s">
        <v>145</v>
      </c>
      <c r="P230" s="209" t="s">
        <v>145</v>
      </c>
      <c r="Q230" t="s">
        <v>51</v>
      </c>
      <c r="R230" t="s">
        <v>51</v>
      </c>
      <c r="S230" t="s">
        <v>51</v>
      </c>
      <c r="T230" t="s">
        <v>51</v>
      </c>
    </row>
    <row r="231" spans="1:20">
      <c r="A231" t="s">
        <v>150</v>
      </c>
      <c r="B231" t="s">
        <v>151</v>
      </c>
      <c r="C231" t="s">
        <v>49</v>
      </c>
      <c r="D231" t="s">
        <v>50</v>
      </c>
      <c r="E231" t="s">
        <v>51</v>
      </c>
      <c r="F231" t="s">
        <v>51</v>
      </c>
      <c r="G231" t="s">
        <v>52</v>
      </c>
      <c r="H231" t="s">
        <v>52</v>
      </c>
      <c r="I231" t="s">
        <v>52</v>
      </c>
      <c r="J231" t="s">
        <v>52</v>
      </c>
      <c r="K231" t="s">
        <v>52</v>
      </c>
      <c r="L231" t="s">
        <v>158</v>
      </c>
      <c r="M231" t="s">
        <v>555</v>
      </c>
      <c r="N231" t="s">
        <v>156</v>
      </c>
      <c r="O231" s="209" t="s">
        <v>145</v>
      </c>
      <c r="P231" s="209" t="s">
        <v>145</v>
      </c>
      <c r="Q231" t="s">
        <v>51</v>
      </c>
      <c r="R231" t="s">
        <v>51</v>
      </c>
      <c r="S231" t="s">
        <v>51</v>
      </c>
      <c r="T231" t="s">
        <v>51</v>
      </c>
    </row>
    <row r="232" spans="1:20">
      <c r="A232" t="s">
        <v>152</v>
      </c>
      <c r="B232" t="s">
        <v>153</v>
      </c>
      <c r="C232" t="s">
        <v>49</v>
      </c>
      <c r="D232" t="s">
        <v>50</v>
      </c>
      <c r="E232" t="s">
        <v>51</v>
      </c>
      <c r="F232" t="s">
        <v>51</v>
      </c>
      <c r="G232" t="s">
        <v>52</v>
      </c>
      <c r="H232" t="s">
        <v>52</v>
      </c>
      <c r="I232" t="s">
        <v>52</v>
      </c>
      <c r="J232" t="s">
        <v>52</v>
      </c>
      <c r="K232" t="s">
        <v>52</v>
      </c>
      <c r="L232" t="s">
        <v>158</v>
      </c>
      <c r="M232" t="s">
        <v>555</v>
      </c>
      <c r="N232" t="s">
        <v>156</v>
      </c>
      <c r="O232" s="209" t="s">
        <v>145</v>
      </c>
      <c r="P232" s="209" t="s">
        <v>145</v>
      </c>
      <c r="Q232" t="s">
        <v>51</v>
      </c>
      <c r="R232" t="s">
        <v>51</v>
      </c>
      <c r="S232" t="s">
        <v>51</v>
      </c>
      <c r="T232" t="s">
        <v>51</v>
      </c>
    </row>
    <row r="233" spans="1:20">
      <c r="A233" t="s">
        <v>47</v>
      </c>
      <c r="B233" t="s">
        <v>48</v>
      </c>
      <c r="C233" t="s">
        <v>49</v>
      </c>
      <c r="D233" t="s">
        <v>50</v>
      </c>
      <c r="E233" t="s">
        <v>51</v>
      </c>
      <c r="F233" t="s">
        <v>51</v>
      </c>
      <c r="G233" t="s">
        <v>52</v>
      </c>
      <c r="H233" t="s">
        <v>52</v>
      </c>
      <c r="I233" t="s">
        <v>52</v>
      </c>
      <c r="J233" t="s">
        <v>52</v>
      </c>
      <c r="K233" t="s">
        <v>52</v>
      </c>
      <c r="L233" t="s">
        <v>159</v>
      </c>
      <c r="M233" t="s">
        <v>556</v>
      </c>
      <c r="N233" t="s">
        <v>156</v>
      </c>
      <c r="O233" s="209" t="s">
        <v>147</v>
      </c>
      <c r="P233" s="209" t="s">
        <v>147</v>
      </c>
      <c r="Q233" t="s">
        <v>51</v>
      </c>
      <c r="R233" t="s">
        <v>51</v>
      </c>
      <c r="S233" t="s">
        <v>51</v>
      </c>
      <c r="T233" t="s">
        <v>51</v>
      </c>
    </row>
    <row r="234" spans="1:20">
      <c r="A234" t="s">
        <v>57</v>
      </c>
      <c r="B234" t="s">
        <v>58</v>
      </c>
      <c r="C234" t="s">
        <v>49</v>
      </c>
      <c r="D234" t="s">
        <v>50</v>
      </c>
      <c r="E234" t="s">
        <v>51</v>
      </c>
      <c r="F234" t="s">
        <v>51</v>
      </c>
      <c r="G234" t="s">
        <v>52</v>
      </c>
      <c r="H234" t="s">
        <v>52</v>
      </c>
      <c r="I234" t="s">
        <v>52</v>
      </c>
      <c r="J234" t="s">
        <v>52</v>
      </c>
      <c r="K234" t="s">
        <v>52</v>
      </c>
      <c r="L234" t="s">
        <v>159</v>
      </c>
      <c r="M234" t="s">
        <v>556</v>
      </c>
      <c r="N234" t="s">
        <v>156</v>
      </c>
      <c r="O234" s="209" t="s">
        <v>147</v>
      </c>
      <c r="P234" s="209" t="s">
        <v>147</v>
      </c>
      <c r="Q234" t="s">
        <v>51</v>
      </c>
      <c r="R234" t="s">
        <v>51</v>
      </c>
      <c r="S234" t="s">
        <v>51</v>
      </c>
      <c r="T234" t="s">
        <v>51</v>
      </c>
    </row>
    <row r="235" spans="1:20">
      <c r="A235" t="s">
        <v>59</v>
      </c>
      <c r="B235" t="s">
        <v>60</v>
      </c>
      <c r="C235" t="s">
        <v>49</v>
      </c>
      <c r="D235" t="s">
        <v>50</v>
      </c>
      <c r="E235" t="s">
        <v>51</v>
      </c>
      <c r="F235" t="s">
        <v>51</v>
      </c>
      <c r="G235" t="s">
        <v>52</v>
      </c>
      <c r="H235" t="s">
        <v>52</v>
      </c>
      <c r="I235" t="s">
        <v>52</v>
      </c>
      <c r="J235" t="s">
        <v>52</v>
      </c>
      <c r="K235" t="s">
        <v>52</v>
      </c>
      <c r="L235" t="s">
        <v>159</v>
      </c>
      <c r="M235" t="s">
        <v>556</v>
      </c>
      <c r="N235" t="s">
        <v>156</v>
      </c>
      <c r="O235" s="209" t="s">
        <v>147</v>
      </c>
      <c r="P235" s="209" t="s">
        <v>147</v>
      </c>
      <c r="Q235" t="s">
        <v>51</v>
      </c>
      <c r="R235" t="s">
        <v>51</v>
      </c>
      <c r="S235" t="s">
        <v>51</v>
      </c>
      <c r="T235" t="s">
        <v>51</v>
      </c>
    </row>
    <row r="236" spans="1:20">
      <c r="A236" t="s">
        <v>61</v>
      </c>
      <c r="B236" t="s">
        <v>62</v>
      </c>
      <c r="C236" t="s">
        <v>49</v>
      </c>
      <c r="D236" t="s">
        <v>50</v>
      </c>
      <c r="E236" t="s">
        <v>51</v>
      </c>
      <c r="F236" t="s">
        <v>51</v>
      </c>
      <c r="G236" t="s">
        <v>52</v>
      </c>
      <c r="H236" t="s">
        <v>52</v>
      </c>
      <c r="I236" t="s">
        <v>52</v>
      </c>
      <c r="J236" t="s">
        <v>52</v>
      </c>
      <c r="K236" t="s">
        <v>52</v>
      </c>
      <c r="L236" t="s">
        <v>159</v>
      </c>
      <c r="M236" t="s">
        <v>556</v>
      </c>
      <c r="N236" t="s">
        <v>156</v>
      </c>
      <c r="O236" s="209" t="s">
        <v>147</v>
      </c>
      <c r="P236" s="209" t="s">
        <v>147</v>
      </c>
      <c r="Q236" t="s">
        <v>51</v>
      </c>
      <c r="R236" t="s">
        <v>51</v>
      </c>
      <c r="S236" t="s">
        <v>51</v>
      </c>
      <c r="T236" t="s">
        <v>51</v>
      </c>
    </row>
    <row r="237" spans="1:20">
      <c r="A237" t="s">
        <v>63</v>
      </c>
      <c r="B237" t="s">
        <v>56</v>
      </c>
      <c r="C237" t="s">
        <v>49</v>
      </c>
      <c r="D237" t="s">
        <v>50</v>
      </c>
      <c r="E237" t="s">
        <v>51</v>
      </c>
      <c r="F237" t="s">
        <v>51</v>
      </c>
      <c r="G237" t="s">
        <v>52</v>
      </c>
      <c r="H237" t="s">
        <v>52</v>
      </c>
      <c r="I237" t="s">
        <v>52</v>
      </c>
      <c r="J237" t="s">
        <v>52</v>
      </c>
      <c r="K237" t="s">
        <v>52</v>
      </c>
      <c r="L237" t="s">
        <v>159</v>
      </c>
      <c r="M237" t="s">
        <v>556</v>
      </c>
      <c r="N237" t="s">
        <v>156</v>
      </c>
      <c r="O237" s="209" t="s">
        <v>147</v>
      </c>
      <c r="P237" s="209" t="s">
        <v>147</v>
      </c>
      <c r="Q237" t="s">
        <v>51</v>
      </c>
      <c r="R237" t="s">
        <v>51</v>
      </c>
      <c r="S237" t="s">
        <v>51</v>
      </c>
      <c r="T237" t="s">
        <v>51</v>
      </c>
    </row>
    <row r="238" spans="1:20">
      <c r="A238" t="s">
        <v>64</v>
      </c>
      <c r="B238" t="s">
        <v>65</v>
      </c>
      <c r="C238" t="s">
        <v>49</v>
      </c>
      <c r="D238" t="s">
        <v>50</v>
      </c>
      <c r="E238" t="s">
        <v>51</v>
      </c>
      <c r="F238" t="s">
        <v>51</v>
      </c>
      <c r="G238" t="s">
        <v>52</v>
      </c>
      <c r="H238" t="s">
        <v>52</v>
      </c>
      <c r="I238" t="s">
        <v>52</v>
      </c>
      <c r="J238" t="s">
        <v>52</v>
      </c>
      <c r="K238" t="s">
        <v>52</v>
      </c>
      <c r="L238" t="s">
        <v>159</v>
      </c>
      <c r="M238" t="s">
        <v>556</v>
      </c>
      <c r="N238" t="s">
        <v>156</v>
      </c>
      <c r="O238" s="209" t="s">
        <v>147</v>
      </c>
      <c r="P238" s="209" t="s">
        <v>147</v>
      </c>
      <c r="Q238" t="s">
        <v>51</v>
      </c>
      <c r="R238" t="s">
        <v>51</v>
      </c>
      <c r="S238" t="s">
        <v>51</v>
      </c>
      <c r="T238" t="s">
        <v>51</v>
      </c>
    </row>
    <row r="239" spans="1:20">
      <c r="A239" t="s">
        <v>66</v>
      </c>
      <c r="B239" t="s">
        <v>67</v>
      </c>
      <c r="C239" t="s">
        <v>49</v>
      </c>
      <c r="D239" t="s">
        <v>50</v>
      </c>
      <c r="E239" t="s">
        <v>51</v>
      </c>
      <c r="F239" t="s">
        <v>51</v>
      </c>
      <c r="G239" t="s">
        <v>52</v>
      </c>
      <c r="H239" t="s">
        <v>52</v>
      </c>
      <c r="I239" t="s">
        <v>52</v>
      </c>
      <c r="J239" t="s">
        <v>52</v>
      </c>
      <c r="K239" t="s">
        <v>52</v>
      </c>
      <c r="L239" t="s">
        <v>159</v>
      </c>
      <c r="M239" t="s">
        <v>556</v>
      </c>
      <c r="N239" t="s">
        <v>156</v>
      </c>
      <c r="O239" s="209" t="s">
        <v>147</v>
      </c>
      <c r="P239" s="209" t="s">
        <v>147</v>
      </c>
      <c r="Q239" t="s">
        <v>51</v>
      </c>
      <c r="R239" t="s">
        <v>51</v>
      </c>
      <c r="S239" t="s">
        <v>51</v>
      </c>
      <c r="T239" t="s">
        <v>51</v>
      </c>
    </row>
    <row r="240" spans="1:20">
      <c r="A240" t="s">
        <v>68</v>
      </c>
      <c r="B240" t="s">
        <v>69</v>
      </c>
      <c r="C240" t="s">
        <v>49</v>
      </c>
      <c r="D240" t="s">
        <v>50</v>
      </c>
      <c r="E240" t="s">
        <v>51</v>
      </c>
      <c r="F240" t="s">
        <v>51</v>
      </c>
      <c r="G240" t="s">
        <v>52</v>
      </c>
      <c r="H240" t="s">
        <v>52</v>
      </c>
      <c r="I240" t="s">
        <v>52</v>
      </c>
      <c r="J240" t="s">
        <v>52</v>
      </c>
      <c r="K240" t="s">
        <v>52</v>
      </c>
      <c r="L240" t="s">
        <v>159</v>
      </c>
      <c r="M240" t="s">
        <v>556</v>
      </c>
      <c r="N240" t="s">
        <v>156</v>
      </c>
      <c r="O240" s="209" t="s">
        <v>147</v>
      </c>
      <c r="P240" s="209" t="s">
        <v>147</v>
      </c>
      <c r="Q240" t="s">
        <v>51</v>
      </c>
      <c r="R240" t="s">
        <v>51</v>
      </c>
      <c r="S240" t="s">
        <v>51</v>
      </c>
      <c r="T240" t="s">
        <v>51</v>
      </c>
    </row>
    <row r="241" spans="1:20">
      <c r="A241" t="s">
        <v>70</v>
      </c>
      <c r="B241" t="s">
        <v>71</v>
      </c>
      <c r="C241" t="s">
        <v>49</v>
      </c>
      <c r="D241" t="s">
        <v>50</v>
      </c>
      <c r="E241" t="s">
        <v>51</v>
      </c>
      <c r="F241" t="s">
        <v>51</v>
      </c>
      <c r="G241" t="s">
        <v>52</v>
      </c>
      <c r="H241" t="s">
        <v>52</v>
      </c>
      <c r="I241" t="s">
        <v>52</v>
      </c>
      <c r="J241" t="s">
        <v>52</v>
      </c>
      <c r="K241" t="s">
        <v>52</v>
      </c>
      <c r="L241" t="s">
        <v>159</v>
      </c>
      <c r="M241" t="s">
        <v>556</v>
      </c>
      <c r="N241" t="s">
        <v>156</v>
      </c>
      <c r="O241" s="209" t="s">
        <v>147</v>
      </c>
      <c r="P241" s="209" t="s">
        <v>147</v>
      </c>
      <c r="Q241" t="s">
        <v>51</v>
      </c>
      <c r="R241" t="s">
        <v>51</v>
      </c>
      <c r="S241" t="s">
        <v>51</v>
      </c>
      <c r="T241" t="s">
        <v>51</v>
      </c>
    </row>
    <row r="242" spans="1:20">
      <c r="A242" t="s">
        <v>72</v>
      </c>
      <c r="B242" t="s">
        <v>73</v>
      </c>
      <c r="C242" t="s">
        <v>49</v>
      </c>
      <c r="D242" t="s">
        <v>50</v>
      </c>
      <c r="E242" t="s">
        <v>51</v>
      </c>
      <c r="F242" t="s">
        <v>51</v>
      </c>
      <c r="G242" t="s">
        <v>52</v>
      </c>
      <c r="H242" t="s">
        <v>52</v>
      </c>
      <c r="I242" t="s">
        <v>52</v>
      </c>
      <c r="J242" t="s">
        <v>52</v>
      </c>
      <c r="K242" t="s">
        <v>52</v>
      </c>
      <c r="L242" t="s">
        <v>159</v>
      </c>
      <c r="M242" t="s">
        <v>556</v>
      </c>
      <c r="N242" t="s">
        <v>156</v>
      </c>
      <c r="O242" s="209" t="s">
        <v>147</v>
      </c>
      <c r="P242" s="209" t="s">
        <v>147</v>
      </c>
      <c r="Q242" t="s">
        <v>51</v>
      </c>
      <c r="R242" t="s">
        <v>51</v>
      </c>
      <c r="S242" t="s">
        <v>51</v>
      </c>
      <c r="T242" t="s">
        <v>51</v>
      </c>
    </row>
    <row r="243" spans="1:20">
      <c r="A243" t="s">
        <v>74</v>
      </c>
      <c r="B243" t="s">
        <v>75</v>
      </c>
      <c r="C243" t="s">
        <v>49</v>
      </c>
      <c r="D243" t="s">
        <v>50</v>
      </c>
      <c r="E243" t="s">
        <v>51</v>
      </c>
      <c r="F243" t="s">
        <v>51</v>
      </c>
      <c r="G243" t="s">
        <v>52</v>
      </c>
      <c r="H243" t="s">
        <v>52</v>
      </c>
      <c r="I243" t="s">
        <v>52</v>
      </c>
      <c r="J243" t="s">
        <v>52</v>
      </c>
      <c r="K243" t="s">
        <v>52</v>
      </c>
      <c r="L243" t="s">
        <v>159</v>
      </c>
      <c r="M243" t="s">
        <v>556</v>
      </c>
      <c r="N243" t="s">
        <v>156</v>
      </c>
      <c r="O243" s="209" t="s">
        <v>147</v>
      </c>
      <c r="P243" s="209" t="s">
        <v>147</v>
      </c>
      <c r="Q243" t="s">
        <v>51</v>
      </c>
      <c r="R243" t="s">
        <v>51</v>
      </c>
      <c r="S243" t="s">
        <v>51</v>
      </c>
      <c r="T243" t="s">
        <v>51</v>
      </c>
    </row>
    <row r="244" spans="1:20">
      <c r="A244" t="s">
        <v>76</v>
      </c>
      <c r="B244" t="s">
        <v>77</v>
      </c>
      <c r="C244" t="s">
        <v>49</v>
      </c>
      <c r="D244" t="s">
        <v>50</v>
      </c>
      <c r="E244" t="s">
        <v>51</v>
      </c>
      <c r="F244" t="s">
        <v>51</v>
      </c>
      <c r="G244" t="s">
        <v>52</v>
      </c>
      <c r="H244" t="s">
        <v>52</v>
      </c>
      <c r="I244" t="s">
        <v>52</v>
      </c>
      <c r="J244" t="s">
        <v>52</v>
      </c>
      <c r="K244" t="s">
        <v>52</v>
      </c>
      <c r="L244" t="s">
        <v>159</v>
      </c>
      <c r="M244" t="s">
        <v>556</v>
      </c>
      <c r="N244" t="s">
        <v>156</v>
      </c>
      <c r="O244" s="209" t="s">
        <v>147</v>
      </c>
      <c r="P244" s="209" t="s">
        <v>147</v>
      </c>
      <c r="Q244" t="s">
        <v>51</v>
      </c>
      <c r="R244" t="s">
        <v>51</v>
      </c>
      <c r="S244" t="s">
        <v>51</v>
      </c>
      <c r="T244" t="s">
        <v>51</v>
      </c>
    </row>
    <row r="245" spans="1:20">
      <c r="A245" t="s">
        <v>78</v>
      </c>
      <c r="B245" t="s">
        <v>79</v>
      </c>
      <c r="C245" t="s">
        <v>49</v>
      </c>
      <c r="D245" t="s">
        <v>50</v>
      </c>
      <c r="E245" t="s">
        <v>51</v>
      </c>
      <c r="F245" t="s">
        <v>51</v>
      </c>
      <c r="G245" t="s">
        <v>52</v>
      </c>
      <c r="H245" t="s">
        <v>52</v>
      </c>
      <c r="I245" t="s">
        <v>52</v>
      </c>
      <c r="J245" t="s">
        <v>52</v>
      </c>
      <c r="K245" t="s">
        <v>52</v>
      </c>
      <c r="L245" t="s">
        <v>159</v>
      </c>
      <c r="M245" t="s">
        <v>556</v>
      </c>
      <c r="N245" t="s">
        <v>156</v>
      </c>
      <c r="O245" s="209" t="s">
        <v>147</v>
      </c>
      <c r="P245" s="209" t="s">
        <v>147</v>
      </c>
      <c r="Q245" t="s">
        <v>51</v>
      </c>
      <c r="R245" t="s">
        <v>51</v>
      </c>
      <c r="S245" t="s">
        <v>51</v>
      </c>
      <c r="T245" t="s">
        <v>51</v>
      </c>
    </row>
    <row r="246" spans="1:20">
      <c r="A246" t="s">
        <v>80</v>
      </c>
      <c r="B246" t="s">
        <v>81</v>
      </c>
      <c r="C246" t="s">
        <v>49</v>
      </c>
      <c r="D246" t="s">
        <v>50</v>
      </c>
      <c r="E246" t="s">
        <v>51</v>
      </c>
      <c r="F246" t="s">
        <v>51</v>
      </c>
      <c r="G246" t="s">
        <v>52</v>
      </c>
      <c r="H246" t="s">
        <v>52</v>
      </c>
      <c r="I246" t="s">
        <v>52</v>
      </c>
      <c r="J246" t="s">
        <v>52</v>
      </c>
      <c r="K246" t="s">
        <v>52</v>
      </c>
      <c r="L246" t="s">
        <v>159</v>
      </c>
      <c r="M246" t="s">
        <v>556</v>
      </c>
      <c r="N246" t="s">
        <v>156</v>
      </c>
      <c r="O246" s="209" t="s">
        <v>147</v>
      </c>
      <c r="P246" s="209" t="s">
        <v>147</v>
      </c>
      <c r="Q246" t="s">
        <v>51</v>
      </c>
      <c r="R246" t="s">
        <v>51</v>
      </c>
      <c r="S246" t="s">
        <v>51</v>
      </c>
      <c r="T246" t="s">
        <v>51</v>
      </c>
    </row>
    <row r="247" spans="1:20">
      <c r="A247" t="s">
        <v>82</v>
      </c>
      <c r="B247" t="s">
        <v>83</v>
      </c>
      <c r="C247" t="s">
        <v>49</v>
      </c>
      <c r="D247" t="s">
        <v>50</v>
      </c>
      <c r="E247" t="s">
        <v>51</v>
      </c>
      <c r="F247" t="s">
        <v>51</v>
      </c>
      <c r="G247" t="s">
        <v>52</v>
      </c>
      <c r="H247" t="s">
        <v>52</v>
      </c>
      <c r="I247" t="s">
        <v>52</v>
      </c>
      <c r="J247" t="s">
        <v>52</v>
      </c>
      <c r="K247" t="s">
        <v>52</v>
      </c>
      <c r="L247" t="s">
        <v>159</v>
      </c>
      <c r="M247" t="s">
        <v>556</v>
      </c>
      <c r="N247" t="s">
        <v>156</v>
      </c>
      <c r="O247" s="209" t="s">
        <v>147</v>
      </c>
      <c r="P247" s="209" t="s">
        <v>147</v>
      </c>
      <c r="Q247" t="s">
        <v>51</v>
      </c>
      <c r="R247" t="s">
        <v>51</v>
      </c>
      <c r="S247" t="s">
        <v>51</v>
      </c>
      <c r="T247" t="s">
        <v>51</v>
      </c>
    </row>
    <row r="248" spans="1:20">
      <c r="A248" t="s">
        <v>84</v>
      </c>
      <c r="B248" t="s">
        <v>85</v>
      </c>
      <c r="C248" t="s">
        <v>49</v>
      </c>
      <c r="D248" t="s">
        <v>50</v>
      </c>
      <c r="E248" t="s">
        <v>51</v>
      </c>
      <c r="F248" t="s">
        <v>51</v>
      </c>
      <c r="G248" t="s">
        <v>52</v>
      </c>
      <c r="H248" t="s">
        <v>52</v>
      </c>
      <c r="I248" t="s">
        <v>52</v>
      </c>
      <c r="J248" t="s">
        <v>52</v>
      </c>
      <c r="K248" t="s">
        <v>52</v>
      </c>
      <c r="L248" t="s">
        <v>159</v>
      </c>
      <c r="M248" t="s">
        <v>556</v>
      </c>
      <c r="N248" t="s">
        <v>156</v>
      </c>
      <c r="O248" s="209" t="s">
        <v>147</v>
      </c>
      <c r="P248" s="209" t="s">
        <v>147</v>
      </c>
      <c r="Q248" t="s">
        <v>51</v>
      </c>
      <c r="R248" t="s">
        <v>51</v>
      </c>
      <c r="S248" t="s">
        <v>51</v>
      </c>
      <c r="T248" t="s">
        <v>51</v>
      </c>
    </row>
    <row r="249" spans="1:20">
      <c r="A249" t="s">
        <v>86</v>
      </c>
      <c r="B249" t="s">
        <v>87</v>
      </c>
      <c r="C249" t="s">
        <v>49</v>
      </c>
      <c r="D249" t="s">
        <v>50</v>
      </c>
      <c r="E249" t="s">
        <v>51</v>
      </c>
      <c r="F249" t="s">
        <v>51</v>
      </c>
      <c r="G249" t="s">
        <v>52</v>
      </c>
      <c r="H249" t="s">
        <v>52</v>
      </c>
      <c r="I249" t="s">
        <v>52</v>
      </c>
      <c r="J249" t="s">
        <v>52</v>
      </c>
      <c r="K249" t="s">
        <v>52</v>
      </c>
      <c r="L249" t="s">
        <v>159</v>
      </c>
      <c r="M249" t="s">
        <v>556</v>
      </c>
      <c r="N249" t="s">
        <v>156</v>
      </c>
      <c r="O249" s="209" t="s">
        <v>147</v>
      </c>
      <c r="P249" s="209" t="s">
        <v>147</v>
      </c>
      <c r="Q249" t="s">
        <v>51</v>
      </c>
      <c r="R249" t="s">
        <v>51</v>
      </c>
      <c r="S249" t="s">
        <v>51</v>
      </c>
      <c r="T249" t="s">
        <v>51</v>
      </c>
    </row>
    <row r="250" spans="1:20">
      <c r="A250" t="s">
        <v>88</v>
      </c>
      <c r="B250" t="s">
        <v>89</v>
      </c>
      <c r="C250" t="s">
        <v>49</v>
      </c>
      <c r="D250" t="s">
        <v>50</v>
      </c>
      <c r="E250" t="s">
        <v>51</v>
      </c>
      <c r="F250" t="s">
        <v>51</v>
      </c>
      <c r="G250" t="s">
        <v>52</v>
      </c>
      <c r="H250" t="s">
        <v>52</v>
      </c>
      <c r="I250" t="s">
        <v>52</v>
      </c>
      <c r="J250" t="s">
        <v>52</v>
      </c>
      <c r="K250" t="s">
        <v>52</v>
      </c>
      <c r="L250" t="s">
        <v>159</v>
      </c>
      <c r="M250" t="s">
        <v>556</v>
      </c>
      <c r="N250" t="s">
        <v>156</v>
      </c>
      <c r="O250" s="209" t="s">
        <v>147</v>
      </c>
      <c r="P250" s="209" t="s">
        <v>147</v>
      </c>
      <c r="Q250" t="s">
        <v>51</v>
      </c>
      <c r="R250" t="s">
        <v>51</v>
      </c>
      <c r="S250" t="s">
        <v>51</v>
      </c>
      <c r="T250" t="s">
        <v>51</v>
      </c>
    </row>
    <row r="251" spans="1:20">
      <c r="A251" t="s">
        <v>90</v>
      </c>
      <c r="B251" t="s">
        <v>91</v>
      </c>
      <c r="C251" t="s">
        <v>49</v>
      </c>
      <c r="D251" t="s">
        <v>50</v>
      </c>
      <c r="E251" t="s">
        <v>51</v>
      </c>
      <c r="F251" t="s">
        <v>51</v>
      </c>
      <c r="G251" t="s">
        <v>52</v>
      </c>
      <c r="H251" t="s">
        <v>52</v>
      </c>
      <c r="I251" t="s">
        <v>52</v>
      </c>
      <c r="J251" t="s">
        <v>52</v>
      </c>
      <c r="K251" t="s">
        <v>52</v>
      </c>
      <c r="L251" t="s">
        <v>159</v>
      </c>
      <c r="M251" t="s">
        <v>556</v>
      </c>
      <c r="N251" t="s">
        <v>156</v>
      </c>
      <c r="O251" s="209" t="s">
        <v>147</v>
      </c>
      <c r="P251" s="209" t="s">
        <v>147</v>
      </c>
      <c r="Q251" t="s">
        <v>51</v>
      </c>
      <c r="R251" t="s">
        <v>51</v>
      </c>
      <c r="S251" t="s">
        <v>51</v>
      </c>
      <c r="T251" t="s">
        <v>51</v>
      </c>
    </row>
    <row r="252" spans="1:20">
      <c r="A252" t="s">
        <v>92</v>
      </c>
      <c r="B252" t="s">
        <v>93</v>
      </c>
      <c r="C252" t="s">
        <v>49</v>
      </c>
      <c r="D252" t="s">
        <v>50</v>
      </c>
      <c r="E252" t="s">
        <v>51</v>
      </c>
      <c r="F252" t="s">
        <v>51</v>
      </c>
      <c r="G252" t="s">
        <v>52</v>
      </c>
      <c r="H252" t="s">
        <v>52</v>
      </c>
      <c r="I252" t="s">
        <v>52</v>
      </c>
      <c r="J252" t="s">
        <v>52</v>
      </c>
      <c r="K252" t="s">
        <v>52</v>
      </c>
      <c r="L252" t="s">
        <v>159</v>
      </c>
      <c r="M252" t="s">
        <v>556</v>
      </c>
      <c r="N252" t="s">
        <v>156</v>
      </c>
      <c r="O252" s="209" t="s">
        <v>147</v>
      </c>
      <c r="P252" s="209" t="s">
        <v>147</v>
      </c>
      <c r="Q252" t="s">
        <v>51</v>
      </c>
      <c r="R252" t="s">
        <v>51</v>
      </c>
      <c r="S252" t="s">
        <v>51</v>
      </c>
      <c r="T252" t="s">
        <v>51</v>
      </c>
    </row>
    <row r="253" spans="1:20">
      <c r="A253" t="s">
        <v>94</v>
      </c>
      <c r="B253" t="s">
        <v>95</v>
      </c>
      <c r="C253" t="s">
        <v>49</v>
      </c>
      <c r="D253" t="s">
        <v>50</v>
      </c>
      <c r="E253" t="s">
        <v>51</v>
      </c>
      <c r="F253" t="s">
        <v>51</v>
      </c>
      <c r="G253" t="s">
        <v>52</v>
      </c>
      <c r="H253" t="s">
        <v>52</v>
      </c>
      <c r="I253" t="s">
        <v>52</v>
      </c>
      <c r="J253" t="s">
        <v>52</v>
      </c>
      <c r="K253" t="s">
        <v>52</v>
      </c>
      <c r="L253" t="s">
        <v>159</v>
      </c>
      <c r="M253" t="s">
        <v>556</v>
      </c>
      <c r="N253" t="s">
        <v>156</v>
      </c>
      <c r="O253" s="209" t="s">
        <v>147</v>
      </c>
      <c r="P253" s="209" t="s">
        <v>147</v>
      </c>
      <c r="Q253" t="s">
        <v>51</v>
      </c>
      <c r="R253" t="s">
        <v>51</v>
      </c>
      <c r="S253" t="s">
        <v>51</v>
      </c>
      <c r="T253" t="s">
        <v>51</v>
      </c>
    </row>
    <row r="254" spans="1:20">
      <c r="A254" t="s">
        <v>96</v>
      </c>
      <c r="B254" t="s">
        <v>97</v>
      </c>
      <c r="C254" t="s">
        <v>49</v>
      </c>
      <c r="D254" t="s">
        <v>50</v>
      </c>
      <c r="E254" t="s">
        <v>51</v>
      </c>
      <c r="F254" t="s">
        <v>51</v>
      </c>
      <c r="G254" t="s">
        <v>52</v>
      </c>
      <c r="H254" t="s">
        <v>52</v>
      </c>
      <c r="I254" t="s">
        <v>52</v>
      </c>
      <c r="J254" t="s">
        <v>52</v>
      </c>
      <c r="K254" t="s">
        <v>52</v>
      </c>
      <c r="L254" t="s">
        <v>159</v>
      </c>
      <c r="M254" t="s">
        <v>556</v>
      </c>
      <c r="N254" t="s">
        <v>156</v>
      </c>
      <c r="O254" s="209" t="s">
        <v>147</v>
      </c>
      <c r="P254" s="209" t="s">
        <v>147</v>
      </c>
      <c r="Q254" t="s">
        <v>51</v>
      </c>
      <c r="R254" t="s">
        <v>51</v>
      </c>
      <c r="S254" t="s">
        <v>51</v>
      </c>
      <c r="T254" t="s">
        <v>51</v>
      </c>
    </row>
    <row r="255" spans="1:20">
      <c r="A255" t="s">
        <v>98</v>
      </c>
      <c r="B255" t="s">
        <v>99</v>
      </c>
      <c r="C255" t="s">
        <v>49</v>
      </c>
      <c r="D255" t="s">
        <v>50</v>
      </c>
      <c r="E255" t="s">
        <v>51</v>
      </c>
      <c r="F255" t="s">
        <v>51</v>
      </c>
      <c r="G255" t="s">
        <v>52</v>
      </c>
      <c r="H255" t="s">
        <v>52</v>
      </c>
      <c r="I255" t="s">
        <v>52</v>
      </c>
      <c r="J255" t="s">
        <v>52</v>
      </c>
      <c r="K255" t="s">
        <v>52</v>
      </c>
      <c r="L255" t="s">
        <v>159</v>
      </c>
      <c r="M255" t="s">
        <v>556</v>
      </c>
      <c r="N255" t="s">
        <v>156</v>
      </c>
      <c r="O255" s="209" t="s">
        <v>147</v>
      </c>
      <c r="P255" s="209" t="s">
        <v>147</v>
      </c>
      <c r="Q255" t="s">
        <v>51</v>
      </c>
      <c r="R255" t="s">
        <v>51</v>
      </c>
      <c r="S255" t="s">
        <v>51</v>
      </c>
      <c r="T255" t="s">
        <v>51</v>
      </c>
    </row>
    <row r="256" spans="1:20">
      <c r="A256" t="s">
        <v>100</v>
      </c>
      <c r="B256" t="s">
        <v>101</v>
      </c>
      <c r="C256" t="s">
        <v>49</v>
      </c>
      <c r="D256" t="s">
        <v>50</v>
      </c>
      <c r="E256" t="s">
        <v>51</v>
      </c>
      <c r="F256" t="s">
        <v>51</v>
      </c>
      <c r="G256" t="s">
        <v>52</v>
      </c>
      <c r="H256" t="s">
        <v>52</v>
      </c>
      <c r="I256" t="s">
        <v>52</v>
      </c>
      <c r="J256" t="s">
        <v>52</v>
      </c>
      <c r="K256" t="s">
        <v>52</v>
      </c>
      <c r="L256" t="s">
        <v>159</v>
      </c>
      <c r="M256" t="s">
        <v>556</v>
      </c>
      <c r="N256" t="s">
        <v>156</v>
      </c>
      <c r="O256" s="209" t="s">
        <v>147</v>
      </c>
      <c r="P256" s="209" t="s">
        <v>147</v>
      </c>
      <c r="Q256" t="s">
        <v>51</v>
      </c>
      <c r="R256" t="s">
        <v>51</v>
      </c>
      <c r="S256" t="s">
        <v>51</v>
      </c>
      <c r="T256" t="s">
        <v>51</v>
      </c>
    </row>
    <row r="257" spans="1:20">
      <c r="A257" t="s">
        <v>102</v>
      </c>
      <c r="B257" t="s">
        <v>103</v>
      </c>
      <c r="C257" t="s">
        <v>49</v>
      </c>
      <c r="D257" t="s">
        <v>50</v>
      </c>
      <c r="E257" t="s">
        <v>51</v>
      </c>
      <c r="F257" t="s">
        <v>51</v>
      </c>
      <c r="G257" t="s">
        <v>52</v>
      </c>
      <c r="H257" t="s">
        <v>52</v>
      </c>
      <c r="I257" t="s">
        <v>52</v>
      </c>
      <c r="J257" t="s">
        <v>52</v>
      </c>
      <c r="K257" t="s">
        <v>52</v>
      </c>
      <c r="L257" t="s">
        <v>159</v>
      </c>
      <c r="M257" t="s">
        <v>556</v>
      </c>
      <c r="N257" t="s">
        <v>156</v>
      </c>
      <c r="O257" t="s">
        <v>147</v>
      </c>
      <c r="P257" t="s">
        <v>147</v>
      </c>
      <c r="Q257" t="s">
        <v>51</v>
      </c>
      <c r="R257" t="s">
        <v>51</v>
      </c>
      <c r="S257" t="s">
        <v>51</v>
      </c>
      <c r="T257" t="s">
        <v>51</v>
      </c>
    </row>
    <row r="258" spans="1:20">
      <c r="A258" t="s">
        <v>104</v>
      </c>
      <c r="B258" t="s">
        <v>105</v>
      </c>
      <c r="C258" t="s">
        <v>49</v>
      </c>
      <c r="D258" t="s">
        <v>50</v>
      </c>
      <c r="E258" t="s">
        <v>51</v>
      </c>
      <c r="F258" t="s">
        <v>51</v>
      </c>
      <c r="G258" t="s">
        <v>52</v>
      </c>
      <c r="H258" t="s">
        <v>52</v>
      </c>
      <c r="I258" t="s">
        <v>52</v>
      </c>
      <c r="J258" t="s">
        <v>52</v>
      </c>
      <c r="K258" t="s">
        <v>52</v>
      </c>
      <c r="L258" t="s">
        <v>159</v>
      </c>
      <c r="M258" t="s">
        <v>556</v>
      </c>
      <c r="N258" t="s">
        <v>156</v>
      </c>
      <c r="O258" t="s">
        <v>147</v>
      </c>
      <c r="P258" t="s">
        <v>147</v>
      </c>
      <c r="Q258" t="s">
        <v>51</v>
      </c>
      <c r="R258" t="s">
        <v>51</v>
      </c>
      <c r="S258" t="s">
        <v>51</v>
      </c>
      <c r="T258" t="s">
        <v>51</v>
      </c>
    </row>
    <row r="259" spans="1:20">
      <c r="A259" t="s">
        <v>106</v>
      </c>
      <c r="B259" t="s">
        <v>107</v>
      </c>
      <c r="C259" t="s">
        <v>49</v>
      </c>
      <c r="D259" t="s">
        <v>50</v>
      </c>
      <c r="E259" t="s">
        <v>51</v>
      </c>
      <c r="F259" t="s">
        <v>51</v>
      </c>
      <c r="G259" t="s">
        <v>52</v>
      </c>
      <c r="H259" t="s">
        <v>52</v>
      </c>
      <c r="I259" t="s">
        <v>52</v>
      </c>
      <c r="J259" t="s">
        <v>52</v>
      </c>
      <c r="K259" t="s">
        <v>52</v>
      </c>
      <c r="L259" t="s">
        <v>159</v>
      </c>
      <c r="M259" t="s">
        <v>556</v>
      </c>
      <c r="N259" t="s">
        <v>156</v>
      </c>
      <c r="O259" t="s">
        <v>147</v>
      </c>
      <c r="P259" t="s">
        <v>147</v>
      </c>
      <c r="Q259" t="s">
        <v>51</v>
      </c>
      <c r="R259" t="s">
        <v>51</v>
      </c>
      <c r="S259" t="s">
        <v>51</v>
      </c>
      <c r="T259" t="s">
        <v>51</v>
      </c>
    </row>
    <row r="260" spans="1:20">
      <c r="A260" t="s">
        <v>108</v>
      </c>
      <c r="B260" t="s">
        <v>109</v>
      </c>
      <c r="C260" t="s">
        <v>49</v>
      </c>
      <c r="D260" t="s">
        <v>50</v>
      </c>
      <c r="E260" t="s">
        <v>51</v>
      </c>
      <c r="F260" t="s">
        <v>51</v>
      </c>
      <c r="G260" t="s">
        <v>52</v>
      </c>
      <c r="H260" t="s">
        <v>52</v>
      </c>
      <c r="I260" t="s">
        <v>52</v>
      </c>
      <c r="J260" t="s">
        <v>52</v>
      </c>
      <c r="K260" t="s">
        <v>52</v>
      </c>
      <c r="L260" t="s">
        <v>159</v>
      </c>
      <c r="M260" t="s">
        <v>556</v>
      </c>
      <c r="N260" t="s">
        <v>156</v>
      </c>
      <c r="O260" t="s">
        <v>147</v>
      </c>
      <c r="P260" t="s">
        <v>147</v>
      </c>
      <c r="Q260" t="s">
        <v>51</v>
      </c>
      <c r="R260" t="s">
        <v>51</v>
      </c>
      <c r="S260" t="s">
        <v>51</v>
      </c>
      <c r="T260" t="s">
        <v>51</v>
      </c>
    </row>
    <row r="261" spans="1:20">
      <c r="A261" t="s">
        <v>110</v>
      </c>
      <c r="B261" t="s">
        <v>111</v>
      </c>
      <c r="C261" t="s">
        <v>49</v>
      </c>
      <c r="D261" t="s">
        <v>50</v>
      </c>
      <c r="E261" t="s">
        <v>51</v>
      </c>
      <c r="F261" t="s">
        <v>51</v>
      </c>
      <c r="G261" t="s">
        <v>52</v>
      </c>
      <c r="H261" t="s">
        <v>52</v>
      </c>
      <c r="I261" t="s">
        <v>52</v>
      </c>
      <c r="J261" t="s">
        <v>52</v>
      </c>
      <c r="K261" t="s">
        <v>52</v>
      </c>
      <c r="L261" t="s">
        <v>159</v>
      </c>
      <c r="M261" t="s">
        <v>556</v>
      </c>
      <c r="N261" t="s">
        <v>156</v>
      </c>
      <c r="O261" t="s">
        <v>147</v>
      </c>
      <c r="P261" t="s">
        <v>147</v>
      </c>
      <c r="Q261" t="s">
        <v>51</v>
      </c>
      <c r="R261" t="s">
        <v>51</v>
      </c>
      <c r="S261" t="s">
        <v>51</v>
      </c>
      <c r="T261" t="s">
        <v>51</v>
      </c>
    </row>
    <row r="262" spans="1:20">
      <c r="A262" t="s">
        <v>112</v>
      </c>
      <c r="B262" t="s">
        <v>113</v>
      </c>
      <c r="C262" t="s">
        <v>49</v>
      </c>
      <c r="D262" t="s">
        <v>50</v>
      </c>
      <c r="E262" t="s">
        <v>51</v>
      </c>
      <c r="F262" t="s">
        <v>51</v>
      </c>
      <c r="G262" t="s">
        <v>52</v>
      </c>
      <c r="H262" t="s">
        <v>52</v>
      </c>
      <c r="I262" t="s">
        <v>52</v>
      </c>
      <c r="J262" t="s">
        <v>52</v>
      </c>
      <c r="K262" t="s">
        <v>52</v>
      </c>
      <c r="L262" t="s">
        <v>159</v>
      </c>
      <c r="M262" t="s">
        <v>556</v>
      </c>
      <c r="N262" t="s">
        <v>156</v>
      </c>
      <c r="O262" t="s">
        <v>147</v>
      </c>
      <c r="P262" t="s">
        <v>147</v>
      </c>
      <c r="Q262" t="s">
        <v>51</v>
      </c>
      <c r="R262" t="s">
        <v>51</v>
      </c>
      <c r="S262" t="s">
        <v>51</v>
      </c>
      <c r="T262" t="s">
        <v>51</v>
      </c>
    </row>
    <row r="263" spans="1:20">
      <c r="A263" t="s">
        <v>114</v>
      </c>
      <c r="B263" t="s">
        <v>115</v>
      </c>
      <c r="C263" t="s">
        <v>49</v>
      </c>
      <c r="D263" t="s">
        <v>50</v>
      </c>
      <c r="E263" t="s">
        <v>51</v>
      </c>
      <c r="F263" t="s">
        <v>51</v>
      </c>
      <c r="G263" t="s">
        <v>52</v>
      </c>
      <c r="H263" t="s">
        <v>52</v>
      </c>
      <c r="I263" t="s">
        <v>52</v>
      </c>
      <c r="J263" t="s">
        <v>52</v>
      </c>
      <c r="K263" t="s">
        <v>52</v>
      </c>
      <c r="L263" t="s">
        <v>159</v>
      </c>
      <c r="M263" t="s">
        <v>556</v>
      </c>
      <c r="N263" t="s">
        <v>156</v>
      </c>
      <c r="O263" t="s">
        <v>147</v>
      </c>
      <c r="P263" t="s">
        <v>147</v>
      </c>
      <c r="Q263" t="s">
        <v>51</v>
      </c>
      <c r="R263" t="s">
        <v>51</v>
      </c>
      <c r="S263" t="s">
        <v>51</v>
      </c>
      <c r="T263" t="s">
        <v>51</v>
      </c>
    </row>
    <row r="264" spans="1:20">
      <c r="A264" t="s">
        <v>116</v>
      </c>
      <c r="B264" t="s">
        <v>117</v>
      </c>
      <c r="C264" t="s">
        <v>49</v>
      </c>
      <c r="D264" t="s">
        <v>50</v>
      </c>
      <c r="E264" t="s">
        <v>51</v>
      </c>
      <c r="F264" t="s">
        <v>51</v>
      </c>
      <c r="G264" t="s">
        <v>52</v>
      </c>
      <c r="H264" t="s">
        <v>52</v>
      </c>
      <c r="I264" t="s">
        <v>52</v>
      </c>
      <c r="J264" t="s">
        <v>52</v>
      </c>
      <c r="K264" t="s">
        <v>52</v>
      </c>
      <c r="L264" t="s">
        <v>159</v>
      </c>
      <c r="M264" t="s">
        <v>556</v>
      </c>
      <c r="N264" t="s">
        <v>156</v>
      </c>
      <c r="O264" t="s">
        <v>147</v>
      </c>
      <c r="P264" t="s">
        <v>147</v>
      </c>
      <c r="Q264" t="s">
        <v>51</v>
      </c>
      <c r="R264" t="s">
        <v>51</v>
      </c>
      <c r="S264" t="s">
        <v>51</v>
      </c>
      <c r="T264" t="s">
        <v>51</v>
      </c>
    </row>
    <row r="265" spans="1:20">
      <c r="A265" t="s">
        <v>118</v>
      </c>
      <c r="B265" t="s">
        <v>119</v>
      </c>
      <c r="C265" t="s">
        <v>49</v>
      </c>
      <c r="D265" t="s">
        <v>50</v>
      </c>
      <c r="E265" t="s">
        <v>51</v>
      </c>
      <c r="F265" t="s">
        <v>51</v>
      </c>
      <c r="G265" t="s">
        <v>52</v>
      </c>
      <c r="H265" t="s">
        <v>52</v>
      </c>
      <c r="I265" t="s">
        <v>52</v>
      </c>
      <c r="J265" t="s">
        <v>52</v>
      </c>
      <c r="K265" t="s">
        <v>52</v>
      </c>
      <c r="L265" t="s">
        <v>159</v>
      </c>
      <c r="M265" t="s">
        <v>556</v>
      </c>
      <c r="N265" t="s">
        <v>156</v>
      </c>
      <c r="O265" t="s">
        <v>147</v>
      </c>
      <c r="P265" t="s">
        <v>147</v>
      </c>
      <c r="Q265" t="s">
        <v>51</v>
      </c>
      <c r="R265" t="s">
        <v>51</v>
      </c>
      <c r="S265" t="s">
        <v>51</v>
      </c>
      <c r="T265" t="s">
        <v>51</v>
      </c>
    </row>
    <row r="266" spans="1:20">
      <c r="A266" t="s">
        <v>120</v>
      </c>
      <c r="B266" t="s">
        <v>121</v>
      </c>
      <c r="C266" t="s">
        <v>49</v>
      </c>
      <c r="D266" t="s">
        <v>50</v>
      </c>
      <c r="E266" t="s">
        <v>51</v>
      </c>
      <c r="F266" t="s">
        <v>51</v>
      </c>
      <c r="G266" t="s">
        <v>52</v>
      </c>
      <c r="H266" t="s">
        <v>52</v>
      </c>
      <c r="I266" t="s">
        <v>52</v>
      </c>
      <c r="J266" t="s">
        <v>52</v>
      </c>
      <c r="K266" t="s">
        <v>52</v>
      </c>
      <c r="L266" t="s">
        <v>159</v>
      </c>
      <c r="M266" t="s">
        <v>556</v>
      </c>
      <c r="N266" t="s">
        <v>156</v>
      </c>
      <c r="O266" t="s">
        <v>147</v>
      </c>
      <c r="P266" t="s">
        <v>147</v>
      </c>
      <c r="Q266" t="s">
        <v>51</v>
      </c>
      <c r="R266" t="s">
        <v>51</v>
      </c>
      <c r="S266" t="s">
        <v>51</v>
      </c>
      <c r="T266" t="s">
        <v>51</v>
      </c>
    </row>
    <row r="267" spans="1:20">
      <c r="A267" t="s">
        <v>122</v>
      </c>
      <c r="B267" t="s">
        <v>123</v>
      </c>
      <c r="C267" t="s">
        <v>49</v>
      </c>
      <c r="D267" t="s">
        <v>50</v>
      </c>
      <c r="E267" t="s">
        <v>51</v>
      </c>
      <c r="F267" t="s">
        <v>51</v>
      </c>
      <c r="G267" t="s">
        <v>52</v>
      </c>
      <c r="H267" t="s">
        <v>52</v>
      </c>
      <c r="I267" t="s">
        <v>52</v>
      </c>
      <c r="J267" t="s">
        <v>52</v>
      </c>
      <c r="K267" t="s">
        <v>52</v>
      </c>
      <c r="L267" t="s">
        <v>159</v>
      </c>
      <c r="M267" t="s">
        <v>556</v>
      </c>
      <c r="N267" t="s">
        <v>156</v>
      </c>
      <c r="O267" t="s">
        <v>147</v>
      </c>
      <c r="P267" t="s">
        <v>147</v>
      </c>
      <c r="Q267" t="s">
        <v>51</v>
      </c>
      <c r="R267" t="s">
        <v>51</v>
      </c>
      <c r="S267" t="s">
        <v>51</v>
      </c>
      <c r="T267" t="s">
        <v>51</v>
      </c>
    </row>
    <row r="268" spans="1:20">
      <c r="A268" t="s">
        <v>124</v>
      </c>
      <c r="B268" t="s">
        <v>125</v>
      </c>
      <c r="C268" t="s">
        <v>49</v>
      </c>
      <c r="D268" t="s">
        <v>50</v>
      </c>
      <c r="E268" t="s">
        <v>51</v>
      </c>
      <c r="F268" t="s">
        <v>51</v>
      </c>
      <c r="G268" t="s">
        <v>52</v>
      </c>
      <c r="H268" t="s">
        <v>52</v>
      </c>
      <c r="I268" t="s">
        <v>52</v>
      </c>
      <c r="J268" t="s">
        <v>52</v>
      </c>
      <c r="K268" t="s">
        <v>52</v>
      </c>
      <c r="L268" t="s">
        <v>159</v>
      </c>
      <c r="M268" t="s">
        <v>556</v>
      </c>
      <c r="N268" t="s">
        <v>156</v>
      </c>
      <c r="O268" t="s">
        <v>147</v>
      </c>
      <c r="P268" t="s">
        <v>147</v>
      </c>
      <c r="Q268" t="s">
        <v>51</v>
      </c>
      <c r="R268" t="s">
        <v>51</v>
      </c>
      <c r="S268" t="s">
        <v>51</v>
      </c>
      <c r="T268" t="s">
        <v>51</v>
      </c>
    </row>
    <row r="269" spans="1:20">
      <c r="A269" t="s">
        <v>126</v>
      </c>
      <c r="B269" t="s">
        <v>127</v>
      </c>
      <c r="C269" t="s">
        <v>49</v>
      </c>
      <c r="D269" t="s">
        <v>50</v>
      </c>
      <c r="E269" t="s">
        <v>51</v>
      </c>
      <c r="F269" t="s">
        <v>51</v>
      </c>
      <c r="G269" t="s">
        <v>52</v>
      </c>
      <c r="H269" t="s">
        <v>52</v>
      </c>
      <c r="I269" t="s">
        <v>52</v>
      </c>
      <c r="J269" t="s">
        <v>52</v>
      </c>
      <c r="K269" t="s">
        <v>52</v>
      </c>
      <c r="L269" t="s">
        <v>159</v>
      </c>
      <c r="M269" t="s">
        <v>556</v>
      </c>
      <c r="N269" t="s">
        <v>156</v>
      </c>
      <c r="O269" t="s">
        <v>147</v>
      </c>
      <c r="P269" t="s">
        <v>147</v>
      </c>
      <c r="Q269" t="s">
        <v>51</v>
      </c>
      <c r="R269" t="s">
        <v>51</v>
      </c>
      <c r="S269" t="s">
        <v>51</v>
      </c>
      <c r="T269" t="s">
        <v>51</v>
      </c>
    </row>
    <row r="270" spans="1:20">
      <c r="A270" t="s">
        <v>128</v>
      </c>
      <c r="B270" t="s">
        <v>129</v>
      </c>
      <c r="C270" t="s">
        <v>49</v>
      </c>
      <c r="D270" t="s">
        <v>50</v>
      </c>
      <c r="E270" t="s">
        <v>51</v>
      </c>
      <c r="F270" t="s">
        <v>51</v>
      </c>
      <c r="G270" t="s">
        <v>52</v>
      </c>
      <c r="H270" t="s">
        <v>52</v>
      </c>
      <c r="I270" t="s">
        <v>52</v>
      </c>
      <c r="J270" t="s">
        <v>52</v>
      </c>
      <c r="K270" t="s">
        <v>52</v>
      </c>
      <c r="L270" t="s">
        <v>159</v>
      </c>
      <c r="M270" t="s">
        <v>556</v>
      </c>
      <c r="N270" t="s">
        <v>156</v>
      </c>
      <c r="O270" t="s">
        <v>147</v>
      </c>
      <c r="P270" t="s">
        <v>147</v>
      </c>
      <c r="Q270" t="s">
        <v>51</v>
      </c>
      <c r="R270" t="s">
        <v>51</v>
      </c>
      <c r="S270" t="s">
        <v>51</v>
      </c>
      <c r="T270" t="s">
        <v>51</v>
      </c>
    </row>
    <row r="271" spans="1:20">
      <c r="A271" t="s">
        <v>130</v>
      </c>
      <c r="B271" t="s">
        <v>131</v>
      </c>
      <c r="C271" t="s">
        <v>49</v>
      </c>
      <c r="D271" t="s">
        <v>50</v>
      </c>
      <c r="E271" t="s">
        <v>51</v>
      </c>
      <c r="F271" t="s">
        <v>51</v>
      </c>
      <c r="G271" t="s">
        <v>52</v>
      </c>
      <c r="H271" t="s">
        <v>52</v>
      </c>
      <c r="I271" t="s">
        <v>52</v>
      </c>
      <c r="J271" t="s">
        <v>52</v>
      </c>
      <c r="K271" t="s">
        <v>52</v>
      </c>
      <c r="L271" t="s">
        <v>159</v>
      </c>
      <c r="M271" t="s">
        <v>556</v>
      </c>
      <c r="N271" t="s">
        <v>156</v>
      </c>
      <c r="O271" t="s">
        <v>147</v>
      </c>
      <c r="P271" t="s">
        <v>147</v>
      </c>
      <c r="Q271" t="s">
        <v>51</v>
      </c>
      <c r="R271" t="s">
        <v>51</v>
      </c>
      <c r="S271" t="s">
        <v>51</v>
      </c>
      <c r="T271" t="s">
        <v>51</v>
      </c>
    </row>
    <row r="272" spans="1:20">
      <c r="A272" t="s">
        <v>132</v>
      </c>
      <c r="B272" t="s">
        <v>133</v>
      </c>
      <c r="C272" t="s">
        <v>49</v>
      </c>
      <c r="D272" t="s">
        <v>50</v>
      </c>
      <c r="E272" t="s">
        <v>51</v>
      </c>
      <c r="F272" t="s">
        <v>51</v>
      </c>
      <c r="G272" t="s">
        <v>52</v>
      </c>
      <c r="H272" t="s">
        <v>52</v>
      </c>
      <c r="I272" t="s">
        <v>52</v>
      </c>
      <c r="J272" t="s">
        <v>52</v>
      </c>
      <c r="K272" t="s">
        <v>52</v>
      </c>
      <c r="L272" t="s">
        <v>159</v>
      </c>
      <c r="M272" t="s">
        <v>556</v>
      </c>
      <c r="N272" t="s">
        <v>156</v>
      </c>
      <c r="O272" t="s">
        <v>147</v>
      </c>
      <c r="P272" t="s">
        <v>147</v>
      </c>
      <c r="Q272" t="s">
        <v>51</v>
      </c>
      <c r="R272" t="s">
        <v>51</v>
      </c>
      <c r="S272" t="s">
        <v>51</v>
      </c>
      <c r="T272" t="s">
        <v>51</v>
      </c>
    </row>
    <row r="273" spans="1:20">
      <c r="A273" t="s">
        <v>134</v>
      </c>
      <c r="B273" t="s">
        <v>135</v>
      </c>
      <c r="C273" t="s">
        <v>49</v>
      </c>
      <c r="D273" t="s">
        <v>50</v>
      </c>
      <c r="E273" t="s">
        <v>51</v>
      </c>
      <c r="F273" t="s">
        <v>51</v>
      </c>
      <c r="G273" t="s">
        <v>52</v>
      </c>
      <c r="H273" t="s">
        <v>52</v>
      </c>
      <c r="I273" t="s">
        <v>52</v>
      </c>
      <c r="J273" t="s">
        <v>52</v>
      </c>
      <c r="K273" t="s">
        <v>52</v>
      </c>
      <c r="L273" t="s">
        <v>159</v>
      </c>
      <c r="M273" t="s">
        <v>556</v>
      </c>
      <c r="N273" t="s">
        <v>156</v>
      </c>
      <c r="O273" t="s">
        <v>147</v>
      </c>
      <c r="P273" t="s">
        <v>147</v>
      </c>
      <c r="Q273" t="s">
        <v>51</v>
      </c>
      <c r="R273" t="s">
        <v>51</v>
      </c>
      <c r="S273" t="s">
        <v>51</v>
      </c>
      <c r="T273" t="s">
        <v>51</v>
      </c>
    </row>
    <row r="274" spans="1:20">
      <c r="A274" t="s">
        <v>136</v>
      </c>
      <c r="B274" t="s">
        <v>137</v>
      </c>
      <c r="C274" t="s">
        <v>49</v>
      </c>
      <c r="D274" t="s">
        <v>50</v>
      </c>
      <c r="E274" t="s">
        <v>51</v>
      </c>
      <c r="F274" t="s">
        <v>51</v>
      </c>
      <c r="G274" t="s">
        <v>52</v>
      </c>
      <c r="H274" t="s">
        <v>52</v>
      </c>
      <c r="I274" t="s">
        <v>52</v>
      </c>
      <c r="J274" t="s">
        <v>52</v>
      </c>
      <c r="K274" t="s">
        <v>52</v>
      </c>
      <c r="L274" t="s">
        <v>159</v>
      </c>
      <c r="M274" t="s">
        <v>556</v>
      </c>
      <c r="N274" t="s">
        <v>156</v>
      </c>
      <c r="O274" t="s">
        <v>147</v>
      </c>
      <c r="P274" t="s">
        <v>147</v>
      </c>
      <c r="Q274" t="s">
        <v>51</v>
      </c>
      <c r="R274" t="s">
        <v>51</v>
      </c>
      <c r="S274" t="s">
        <v>51</v>
      </c>
      <c r="T274" t="s">
        <v>51</v>
      </c>
    </row>
    <row r="275" spans="1:20">
      <c r="A275" t="s">
        <v>138</v>
      </c>
      <c r="B275" t="s">
        <v>139</v>
      </c>
      <c r="C275" t="s">
        <v>49</v>
      </c>
      <c r="D275" t="s">
        <v>50</v>
      </c>
      <c r="E275" t="s">
        <v>51</v>
      </c>
      <c r="F275" t="s">
        <v>51</v>
      </c>
      <c r="G275" t="s">
        <v>52</v>
      </c>
      <c r="H275" t="s">
        <v>52</v>
      </c>
      <c r="I275" t="s">
        <v>52</v>
      </c>
      <c r="J275" t="s">
        <v>52</v>
      </c>
      <c r="K275" t="s">
        <v>52</v>
      </c>
      <c r="L275" t="s">
        <v>159</v>
      </c>
      <c r="M275" t="s">
        <v>556</v>
      </c>
      <c r="N275" t="s">
        <v>156</v>
      </c>
      <c r="O275" t="s">
        <v>147</v>
      </c>
      <c r="P275" t="s">
        <v>147</v>
      </c>
      <c r="Q275" t="s">
        <v>51</v>
      </c>
      <c r="R275" t="s">
        <v>51</v>
      </c>
      <c r="S275" t="s">
        <v>51</v>
      </c>
      <c r="T275" t="s">
        <v>51</v>
      </c>
    </row>
    <row r="276" spans="1:20">
      <c r="A276" t="s">
        <v>140</v>
      </c>
      <c r="B276" t="s">
        <v>141</v>
      </c>
      <c r="C276" t="s">
        <v>49</v>
      </c>
      <c r="D276" t="s">
        <v>50</v>
      </c>
      <c r="E276" t="s">
        <v>51</v>
      </c>
      <c r="F276" t="s">
        <v>51</v>
      </c>
      <c r="G276" t="s">
        <v>52</v>
      </c>
      <c r="H276" t="s">
        <v>52</v>
      </c>
      <c r="I276" t="s">
        <v>52</v>
      </c>
      <c r="J276" t="s">
        <v>52</v>
      </c>
      <c r="K276" t="s">
        <v>52</v>
      </c>
      <c r="L276" t="s">
        <v>159</v>
      </c>
      <c r="M276" t="s">
        <v>556</v>
      </c>
      <c r="N276" t="s">
        <v>156</v>
      </c>
      <c r="O276" t="s">
        <v>147</v>
      </c>
      <c r="P276" t="s">
        <v>147</v>
      </c>
      <c r="Q276" t="s">
        <v>51</v>
      </c>
      <c r="R276" t="s">
        <v>51</v>
      </c>
      <c r="S276" t="s">
        <v>51</v>
      </c>
      <c r="T276" t="s">
        <v>51</v>
      </c>
    </row>
    <row r="277" spans="1:20">
      <c r="A277" t="s">
        <v>142</v>
      </c>
      <c r="B277" t="s">
        <v>143</v>
      </c>
      <c r="C277" t="s">
        <v>49</v>
      </c>
      <c r="D277" t="s">
        <v>50</v>
      </c>
      <c r="E277" t="s">
        <v>51</v>
      </c>
      <c r="F277" t="s">
        <v>51</v>
      </c>
      <c r="G277" t="s">
        <v>52</v>
      </c>
      <c r="H277" t="s">
        <v>52</v>
      </c>
      <c r="I277" t="s">
        <v>52</v>
      </c>
      <c r="J277" t="s">
        <v>52</v>
      </c>
      <c r="K277" t="s">
        <v>52</v>
      </c>
      <c r="L277" t="s">
        <v>159</v>
      </c>
      <c r="M277" t="s">
        <v>556</v>
      </c>
      <c r="N277" t="s">
        <v>156</v>
      </c>
      <c r="O277" t="s">
        <v>147</v>
      </c>
      <c r="P277" t="s">
        <v>147</v>
      </c>
      <c r="Q277" t="s">
        <v>51</v>
      </c>
      <c r="R277" t="s">
        <v>51</v>
      </c>
      <c r="S277" t="s">
        <v>51</v>
      </c>
      <c r="T277" t="s">
        <v>51</v>
      </c>
    </row>
    <row r="278" spans="1:20">
      <c r="A278" t="s">
        <v>144</v>
      </c>
      <c r="B278" t="s">
        <v>145</v>
      </c>
      <c r="C278" t="s">
        <v>49</v>
      </c>
      <c r="D278" t="s">
        <v>50</v>
      </c>
      <c r="E278" t="s">
        <v>51</v>
      </c>
      <c r="F278" t="s">
        <v>51</v>
      </c>
      <c r="G278" t="s">
        <v>52</v>
      </c>
      <c r="H278" t="s">
        <v>52</v>
      </c>
      <c r="I278" t="s">
        <v>52</v>
      </c>
      <c r="J278" t="s">
        <v>52</v>
      </c>
      <c r="K278" t="s">
        <v>52</v>
      </c>
      <c r="L278" t="s">
        <v>159</v>
      </c>
      <c r="M278" t="s">
        <v>556</v>
      </c>
      <c r="N278" t="s">
        <v>156</v>
      </c>
      <c r="O278" t="s">
        <v>147</v>
      </c>
      <c r="P278" t="s">
        <v>147</v>
      </c>
      <c r="Q278" t="s">
        <v>51</v>
      </c>
      <c r="R278" t="s">
        <v>51</v>
      </c>
      <c r="S278" t="s">
        <v>51</v>
      </c>
      <c r="T278" t="s">
        <v>51</v>
      </c>
    </row>
    <row r="279" spans="1:20">
      <c r="A279" t="s">
        <v>146</v>
      </c>
      <c r="B279" t="s">
        <v>147</v>
      </c>
      <c r="C279" t="s">
        <v>49</v>
      </c>
      <c r="D279" t="s">
        <v>50</v>
      </c>
      <c r="E279" t="s">
        <v>51</v>
      </c>
      <c r="F279" t="s">
        <v>51</v>
      </c>
      <c r="G279" t="s">
        <v>52</v>
      </c>
      <c r="H279" t="s">
        <v>52</v>
      </c>
      <c r="I279" t="s">
        <v>52</v>
      </c>
      <c r="J279" t="s">
        <v>52</v>
      </c>
      <c r="K279" t="s">
        <v>52</v>
      </c>
      <c r="L279" t="s">
        <v>159</v>
      </c>
      <c r="M279" t="s">
        <v>556</v>
      </c>
      <c r="N279" t="s">
        <v>156</v>
      </c>
      <c r="O279" t="s">
        <v>147</v>
      </c>
      <c r="P279" t="s">
        <v>147</v>
      </c>
      <c r="Q279" t="s">
        <v>51</v>
      </c>
      <c r="R279" t="s">
        <v>51</v>
      </c>
      <c r="S279" t="s">
        <v>51</v>
      </c>
      <c r="T279" t="s">
        <v>51</v>
      </c>
    </row>
    <row r="280" spans="1:20">
      <c r="A280" t="s">
        <v>148</v>
      </c>
      <c r="B280" t="s">
        <v>149</v>
      </c>
      <c r="C280" t="s">
        <v>49</v>
      </c>
      <c r="D280" t="s">
        <v>50</v>
      </c>
      <c r="E280" t="s">
        <v>51</v>
      </c>
      <c r="F280" t="s">
        <v>51</v>
      </c>
      <c r="G280" t="s">
        <v>52</v>
      </c>
      <c r="H280" t="s">
        <v>52</v>
      </c>
      <c r="I280" t="s">
        <v>52</v>
      </c>
      <c r="J280" t="s">
        <v>52</v>
      </c>
      <c r="K280" t="s">
        <v>52</v>
      </c>
      <c r="L280" t="s">
        <v>159</v>
      </c>
      <c r="M280" t="s">
        <v>556</v>
      </c>
      <c r="N280" t="s">
        <v>156</v>
      </c>
      <c r="O280" t="s">
        <v>147</v>
      </c>
      <c r="P280" t="s">
        <v>147</v>
      </c>
      <c r="Q280" t="s">
        <v>51</v>
      </c>
      <c r="R280" t="s">
        <v>51</v>
      </c>
      <c r="S280" t="s">
        <v>51</v>
      </c>
      <c r="T280" t="s">
        <v>51</v>
      </c>
    </row>
    <row r="281" spans="1:20">
      <c r="A281" t="s">
        <v>150</v>
      </c>
      <c r="B281" t="s">
        <v>151</v>
      </c>
      <c r="C281" t="s">
        <v>49</v>
      </c>
      <c r="D281" t="s">
        <v>50</v>
      </c>
      <c r="E281" t="s">
        <v>51</v>
      </c>
      <c r="F281" t="s">
        <v>51</v>
      </c>
      <c r="G281" t="s">
        <v>52</v>
      </c>
      <c r="H281" t="s">
        <v>52</v>
      </c>
      <c r="I281" t="s">
        <v>52</v>
      </c>
      <c r="J281" t="s">
        <v>52</v>
      </c>
      <c r="K281" t="s">
        <v>52</v>
      </c>
      <c r="L281" t="s">
        <v>159</v>
      </c>
      <c r="M281" t="s">
        <v>556</v>
      </c>
      <c r="N281" t="s">
        <v>156</v>
      </c>
      <c r="O281" t="s">
        <v>147</v>
      </c>
      <c r="P281" t="s">
        <v>147</v>
      </c>
      <c r="Q281" t="s">
        <v>51</v>
      </c>
      <c r="R281" t="s">
        <v>51</v>
      </c>
      <c r="S281" t="s">
        <v>51</v>
      </c>
      <c r="T281" t="s">
        <v>51</v>
      </c>
    </row>
    <row r="282" spans="1:20">
      <c r="A282" t="s">
        <v>152</v>
      </c>
      <c r="B282" t="s">
        <v>153</v>
      </c>
      <c r="C282" t="s">
        <v>49</v>
      </c>
      <c r="D282" t="s">
        <v>50</v>
      </c>
      <c r="E282" t="s">
        <v>51</v>
      </c>
      <c r="F282" t="s">
        <v>51</v>
      </c>
      <c r="G282" t="s">
        <v>52</v>
      </c>
      <c r="H282" t="s">
        <v>52</v>
      </c>
      <c r="I282" t="s">
        <v>52</v>
      </c>
      <c r="J282" t="s">
        <v>52</v>
      </c>
      <c r="K282" t="s">
        <v>52</v>
      </c>
      <c r="L282" t="s">
        <v>159</v>
      </c>
      <c r="M282" t="s">
        <v>556</v>
      </c>
      <c r="N282" t="s">
        <v>156</v>
      </c>
      <c r="O282" t="s">
        <v>147</v>
      </c>
      <c r="P282" t="s">
        <v>147</v>
      </c>
      <c r="Q282" t="s">
        <v>51</v>
      </c>
      <c r="R282" t="s">
        <v>51</v>
      </c>
      <c r="S282" t="s">
        <v>51</v>
      </c>
      <c r="T282" t="s">
        <v>51</v>
      </c>
    </row>
    <row r="283" spans="1:20">
      <c r="A283" t="s">
        <v>160</v>
      </c>
      <c r="B283" t="s">
        <v>48</v>
      </c>
      <c r="C283" t="s">
        <v>49</v>
      </c>
      <c r="D283" t="s">
        <v>51</v>
      </c>
      <c r="E283" t="s">
        <v>51</v>
      </c>
      <c r="F283" t="s">
        <v>51</v>
      </c>
      <c r="G283" t="s">
        <v>52</v>
      </c>
      <c r="H283" t="s">
        <v>52</v>
      </c>
      <c r="I283" t="s">
        <v>52</v>
      </c>
      <c r="J283" t="s">
        <v>590</v>
      </c>
      <c r="K283" t="s">
        <v>52</v>
      </c>
      <c r="L283" t="s">
        <v>591</v>
      </c>
      <c r="M283" t="s">
        <v>592</v>
      </c>
      <c r="N283" t="s">
        <v>163</v>
      </c>
      <c r="O283" t="s">
        <v>67</v>
      </c>
      <c r="P283" t="s">
        <v>52</v>
      </c>
      <c r="Q283" t="s">
        <v>50</v>
      </c>
      <c r="R283" t="s">
        <v>51</v>
      </c>
      <c r="S283" t="s">
        <v>51</v>
      </c>
      <c r="T283" t="s">
        <v>51</v>
      </c>
    </row>
    <row r="284" spans="1:20">
      <c r="A284" t="s">
        <v>588</v>
      </c>
      <c r="B284" t="s">
        <v>589</v>
      </c>
      <c r="C284" t="s">
        <v>165</v>
      </c>
      <c r="D284" t="s">
        <v>50</v>
      </c>
      <c r="E284" t="s">
        <v>51</v>
      </c>
      <c r="F284" t="s">
        <v>51</v>
      </c>
      <c r="G284" t="s">
        <v>52</v>
      </c>
      <c r="H284" t="s">
        <v>52</v>
      </c>
      <c r="I284" t="s">
        <v>52</v>
      </c>
      <c r="J284" t="s">
        <v>52</v>
      </c>
      <c r="K284" t="s">
        <v>52</v>
      </c>
      <c r="L284" t="s">
        <v>593</v>
      </c>
      <c r="M284" t="s">
        <v>594</v>
      </c>
      <c r="N284" t="s">
        <v>163</v>
      </c>
      <c r="O284" t="s">
        <v>69</v>
      </c>
      <c r="P284" t="s">
        <v>79</v>
      </c>
      <c r="Q284" t="s">
        <v>51</v>
      </c>
      <c r="R284" t="s">
        <v>51</v>
      </c>
      <c r="S284" t="s">
        <v>51</v>
      </c>
      <c r="T284" t="s">
        <v>51</v>
      </c>
    </row>
    <row r="285" spans="1:20">
      <c r="A285" t="s">
        <v>595</v>
      </c>
      <c r="B285" t="s">
        <v>58</v>
      </c>
      <c r="C285" t="s">
        <v>49</v>
      </c>
      <c r="D285" t="s">
        <v>51</v>
      </c>
      <c r="E285" t="s">
        <v>51</v>
      </c>
      <c r="F285" t="s">
        <v>51</v>
      </c>
      <c r="G285" t="s">
        <v>52</v>
      </c>
      <c r="H285" t="s">
        <v>52</v>
      </c>
      <c r="I285" t="s">
        <v>52</v>
      </c>
      <c r="J285" t="s">
        <v>590</v>
      </c>
      <c r="K285" t="s">
        <v>52</v>
      </c>
      <c r="L285" t="s">
        <v>593</v>
      </c>
      <c r="M285" t="s">
        <v>594</v>
      </c>
      <c r="N285" t="s">
        <v>163</v>
      </c>
      <c r="O285" t="s">
        <v>69</v>
      </c>
      <c r="P285" t="s">
        <v>79</v>
      </c>
      <c r="Q285" t="s">
        <v>51</v>
      </c>
      <c r="R285" t="s">
        <v>51</v>
      </c>
      <c r="S285" t="s">
        <v>51</v>
      </c>
      <c r="T285" t="s">
        <v>51</v>
      </c>
    </row>
    <row r="286" spans="1:20">
      <c r="A286" t="s">
        <v>160</v>
      </c>
      <c r="B286" t="s">
        <v>48</v>
      </c>
      <c r="C286" t="s">
        <v>49</v>
      </c>
      <c r="D286" t="s">
        <v>51</v>
      </c>
      <c r="E286" t="s">
        <v>51</v>
      </c>
      <c r="F286" t="s">
        <v>51</v>
      </c>
      <c r="G286" t="s">
        <v>52</v>
      </c>
      <c r="H286" t="s">
        <v>52</v>
      </c>
      <c r="I286" t="s">
        <v>52</v>
      </c>
      <c r="J286" t="s">
        <v>590</v>
      </c>
      <c r="K286" t="s">
        <v>52</v>
      </c>
      <c r="L286" t="s">
        <v>596</v>
      </c>
      <c r="M286" t="s">
        <v>510</v>
      </c>
      <c r="N286" t="s">
        <v>163</v>
      </c>
      <c r="O286" t="s">
        <v>81</v>
      </c>
      <c r="P286" t="s">
        <v>52</v>
      </c>
      <c r="Q286" t="s">
        <v>50</v>
      </c>
      <c r="R286" t="s">
        <v>51</v>
      </c>
      <c r="S286" t="s">
        <v>51</v>
      </c>
      <c r="T286" t="s">
        <v>51</v>
      </c>
    </row>
    <row r="287" spans="1:20">
      <c r="A287" t="s">
        <v>160</v>
      </c>
      <c r="B287" t="s">
        <v>48</v>
      </c>
      <c r="C287" t="s">
        <v>49</v>
      </c>
      <c r="D287" t="s">
        <v>51</v>
      </c>
      <c r="E287" t="s">
        <v>51</v>
      </c>
      <c r="F287" t="s">
        <v>51</v>
      </c>
      <c r="G287" t="s">
        <v>52</v>
      </c>
      <c r="H287" t="s">
        <v>52</v>
      </c>
      <c r="I287" t="s">
        <v>52</v>
      </c>
      <c r="J287" t="s">
        <v>597</v>
      </c>
      <c r="K287" t="s">
        <v>52</v>
      </c>
      <c r="L287" t="s">
        <v>598</v>
      </c>
      <c r="M287" t="s">
        <v>170</v>
      </c>
      <c r="N287" t="s">
        <v>163</v>
      </c>
      <c r="O287" t="s">
        <v>83</v>
      </c>
      <c r="P287" t="s">
        <v>52</v>
      </c>
      <c r="Q287" t="s">
        <v>50</v>
      </c>
      <c r="R287" t="s">
        <v>51</v>
      </c>
      <c r="S287" t="s">
        <v>51</v>
      </c>
      <c r="T287" t="s">
        <v>51</v>
      </c>
    </row>
    <row r="288" spans="1:20">
      <c r="A288" t="s">
        <v>588</v>
      </c>
      <c r="B288" t="s">
        <v>589</v>
      </c>
      <c r="C288" t="s">
        <v>165</v>
      </c>
      <c r="D288" t="s">
        <v>50</v>
      </c>
      <c r="E288" t="s">
        <v>51</v>
      </c>
      <c r="F288" t="s">
        <v>51</v>
      </c>
      <c r="G288" t="s">
        <v>52</v>
      </c>
      <c r="H288" t="s">
        <v>52</v>
      </c>
      <c r="I288" t="s">
        <v>52</v>
      </c>
      <c r="J288" t="s">
        <v>52</v>
      </c>
      <c r="K288" t="s">
        <v>52</v>
      </c>
      <c r="L288" t="s">
        <v>599</v>
      </c>
      <c r="M288" t="s">
        <v>600</v>
      </c>
      <c r="N288" t="s">
        <v>163</v>
      </c>
      <c r="O288" t="s">
        <v>95</v>
      </c>
      <c r="P288" t="s">
        <v>107</v>
      </c>
      <c r="Q288" t="s">
        <v>51</v>
      </c>
      <c r="R288" t="s">
        <v>51</v>
      </c>
      <c r="S288" t="s">
        <v>50</v>
      </c>
      <c r="T288" t="s">
        <v>51</v>
      </c>
    </row>
    <row r="289" spans="1:20">
      <c r="A289" t="s">
        <v>601</v>
      </c>
      <c r="B289" t="s">
        <v>48</v>
      </c>
      <c r="C289" t="s">
        <v>49</v>
      </c>
      <c r="D289" t="s">
        <v>51</v>
      </c>
      <c r="E289" t="s">
        <v>51</v>
      </c>
      <c r="F289" t="s">
        <v>51</v>
      </c>
      <c r="G289" t="s">
        <v>52</v>
      </c>
      <c r="H289" t="s">
        <v>52</v>
      </c>
      <c r="I289" t="s">
        <v>52</v>
      </c>
      <c r="J289" t="s">
        <v>590</v>
      </c>
      <c r="K289" t="s">
        <v>52</v>
      </c>
      <c r="L289" t="s">
        <v>599</v>
      </c>
      <c r="M289" t="s">
        <v>600</v>
      </c>
      <c r="N289" t="s">
        <v>163</v>
      </c>
      <c r="O289" t="s">
        <v>95</v>
      </c>
      <c r="P289" t="s">
        <v>107</v>
      </c>
      <c r="Q289" t="s">
        <v>51</v>
      </c>
      <c r="R289" t="s">
        <v>51</v>
      </c>
      <c r="S289" t="s">
        <v>50</v>
      </c>
      <c r="T289" t="s">
        <v>51</v>
      </c>
    </row>
    <row r="290" spans="1:20">
      <c r="A290" t="s">
        <v>602</v>
      </c>
      <c r="B290" t="s">
        <v>58</v>
      </c>
      <c r="C290" t="s">
        <v>49</v>
      </c>
      <c r="D290" t="s">
        <v>51</v>
      </c>
      <c r="E290" t="s">
        <v>51</v>
      </c>
      <c r="F290" t="s">
        <v>51</v>
      </c>
      <c r="G290" t="s">
        <v>52</v>
      </c>
      <c r="H290" t="s">
        <v>52</v>
      </c>
      <c r="I290" t="s">
        <v>52</v>
      </c>
      <c r="J290" t="s">
        <v>590</v>
      </c>
      <c r="K290" t="s">
        <v>52</v>
      </c>
      <c r="L290" t="s">
        <v>599</v>
      </c>
      <c r="M290" t="s">
        <v>600</v>
      </c>
      <c r="N290" t="s">
        <v>163</v>
      </c>
      <c r="O290" t="s">
        <v>95</v>
      </c>
      <c r="P290" t="s">
        <v>107</v>
      </c>
      <c r="Q290" t="s">
        <v>51</v>
      </c>
      <c r="R290" t="s">
        <v>51</v>
      </c>
      <c r="S290" t="s">
        <v>50</v>
      </c>
      <c r="T290" t="s">
        <v>51</v>
      </c>
    </row>
    <row r="291" spans="1:20">
      <c r="A291" t="s">
        <v>603</v>
      </c>
      <c r="B291" t="s">
        <v>60</v>
      </c>
      <c r="C291" t="s">
        <v>49</v>
      </c>
      <c r="D291" t="s">
        <v>51</v>
      </c>
      <c r="E291" t="s">
        <v>51</v>
      </c>
      <c r="F291" t="s">
        <v>51</v>
      </c>
      <c r="G291" t="s">
        <v>52</v>
      </c>
      <c r="H291" t="s">
        <v>52</v>
      </c>
      <c r="I291" t="s">
        <v>52</v>
      </c>
      <c r="J291" t="s">
        <v>590</v>
      </c>
      <c r="K291" t="s">
        <v>52</v>
      </c>
      <c r="L291" t="s">
        <v>599</v>
      </c>
      <c r="M291" t="s">
        <v>600</v>
      </c>
      <c r="N291" t="s">
        <v>163</v>
      </c>
      <c r="O291" t="s">
        <v>95</v>
      </c>
      <c r="P291" t="s">
        <v>107</v>
      </c>
      <c r="Q291" t="s">
        <v>51</v>
      </c>
      <c r="R291" t="s">
        <v>51</v>
      </c>
      <c r="S291" t="s">
        <v>50</v>
      </c>
      <c r="T291" t="s">
        <v>51</v>
      </c>
    </row>
    <row r="292" spans="1:20">
      <c r="A292" t="s">
        <v>604</v>
      </c>
      <c r="B292" t="s">
        <v>62</v>
      </c>
      <c r="C292" t="s">
        <v>49</v>
      </c>
      <c r="D292" t="s">
        <v>51</v>
      </c>
      <c r="E292" t="s">
        <v>51</v>
      </c>
      <c r="F292" t="s">
        <v>51</v>
      </c>
      <c r="G292" t="s">
        <v>52</v>
      </c>
      <c r="H292" t="s">
        <v>52</v>
      </c>
      <c r="I292" t="s">
        <v>52</v>
      </c>
      <c r="J292" t="s">
        <v>590</v>
      </c>
      <c r="K292" t="s">
        <v>52</v>
      </c>
      <c r="L292" t="s">
        <v>599</v>
      </c>
      <c r="M292" t="s">
        <v>600</v>
      </c>
      <c r="N292" t="s">
        <v>163</v>
      </c>
      <c r="O292" t="s">
        <v>95</v>
      </c>
      <c r="P292" t="s">
        <v>107</v>
      </c>
      <c r="Q292" t="s">
        <v>51</v>
      </c>
      <c r="R292" t="s">
        <v>51</v>
      </c>
      <c r="S292" t="s">
        <v>50</v>
      </c>
      <c r="T292" t="s">
        <v>51</v>
      </c>
    </row>
    <row r="293" spans="1:20">
      <c r="A293" t="s">
        <v>605</v>
      </c>
      <c r="B293" t="s">
        <v>56</v>
      </c>
      <c r="C293" t="s">
        <v>49</v>
      </c>
      <c r="D293" t="s">
        <v>51</v>
      </c>
      <c r="E293" t="s">
        <v>51</v>
      </c>
      <c r="F293" t="s">
        <v>51</v>
      </c>
      <c r="G293" t="s">
        <v>52</v>
      </c>
      <c r="H293" t="s">
        <v>52</v>
      </c>
      <c r="I293" t="s">
        <v>52</v>
      </c>
      <c r="J293" t="s">
        <v>590</v>
      </c>
      <c r="K293" t="s">
        <v>52</v>
      </c>
      <c r="L293" t="s">
        <v>599</v>
      </c>
      <c r="M293" t="s">
        <v>600</v>
      </c>
      <c r="N293" t="s">
        <v>163</v>
      </c>
      <c r="O293" t="s">
        <v>95</v>
      </c>
      <c r="P293" t="s">
        <v>107</v>
      </c>
      <c r="Q293" t="s">
        <v>51</v>
      </c>
      <c r="R293" t="s">
        <v>51</v>
      </c>
      <c r="S293" t="s">
        <v>50</v>
      </c>
      <c r="T293" t="s">
        <v>51</v>
      </c>
    </row>
    <row r="294" spans="1:20">
      <c r="A294" t="s">
        <v>606</v>
      </c>
      <c r="B294" t="s">
        <v>65</v>
      </c>
      <c r="C294" t="s">
        <v>49</v>
      </c>
      <c r="D294" t="s">
        <v>51</v>
      </c>
      <c r="E294" t="s">
        <v>51</v>
      </c>
      <c r="F294" t="s">
        <v>51</v>
      </c>
      <c r="G294" t="s">
        <v>52</v>
      </c>
      <c r="H294" t="s">
        <v>52</v>
      </c>
      <c r="I294" t="s">
        <v>52</v>
      </c>
      <c r="J294" t="s">
        <v>590</v>
      </c>
      <c r="K294" t="s">
        <v>52</v>
      </c>
      <c r="L294" t="s">
        <v>599</v>
      </c>
      <c r="M294" t="s">
        <v>600</v>
      </c>
      <c r="N294" t="s">
        <v>163</v>
      </c>
      <c r="O294" t="s">
        <v>95</v>
      </c>
      <c r="P294" t="s">
        <v>107</v>
      </c>
      <c r="Q294" t="s">
        <v>51</v>
      </c>
      <c r="R294" t="s">
        <v>51</v>
      </c>
      <c r="S294" t="s">
        <v>50</v>
      </c>
      <c r="T294" t="s">
        <v>51</v>
      </c>
    </row>
    <row r="295" spans="1:20">
      <c r="A295" t="s">
        <v>607</v>
      </c>
      <c r="B295" t="s">
        <v>67</v>
      </c>
      <c r="C295" t="s">
        <v>49</v>
      </c>
      <c r="D295" t="s">
        <v>51</v>
      </c>
      <c r="E295" t="s">
        <v>51</v>
      </c>
      <c r="F295" t="s">
        <v>51</v>
      </c>
      <c r="G295" t="s">
        <v>52</v>
      </c>
      <c r="H295" t="s">
        <v>52</v>
      </c>
      <c r="I295" t="s">
        <v>52</v>
      </c>
      <c r="J295" t="s">
        <v>590</v>
      </c>
      <c r="K295" t="s">
        <v>52</v>
      </c>
      <c r="L295" t="s">
        <v>599</v>
      </c>
      <c r="M295" t="s">
        <v>600</v>
      </c>
      <c r="N295" t="s">
        <v>163</v>
      </c>
      <c r="O295" t="s">
        <v>95</v>
      </c>
      <c r="P295" t="s">
        <v>107</v>
      </c>
      <c r="Q295" t="s">
        <v>51</v>
      </c>
      <c r="R295" t="s">
        <v>51</v>
      </c>
      <c r="S295" t="s">
        <v>50</v>
      </c>
      <c r="T295" t="s">
        <v>51</v>
      </c>
    </row>
    <row r="296" spans="1:20">
      <c r="A296" t="s">
        <v>608</v>
      </c>
      <c r="B296" t="s">
        <v>69</v>
      </c>
      <c r="C296" t="s">
        <v>49</v>
      </c>
      <c r="D296" t="s">
        <v>51</v>
      </c>
      <c r="E296" t="s">
        <v>51</v>
      </c>
      <c r="F296" t="s">
        <v>51</v>
      </c>
      <c r="G296" t="s">
        <v>52</v>
      </c>
      <c r="H296" t="s">
        <v>52</v>
      </c>
      <c r="I296" t="s">
        <v>52</v>
      </c>
      <c r="J296" t="s">
        <v>590</v>
      </c>
      <c r="K296" t="s">
        <v>52</v>
      </c>
      <c r="L296" t="s">
        <v>599</v>
      </c>
      <c r="M296" t="s">
        <v>600</v>
      </c>
      <c r="N296" t="s">
        <v>163</v>
      </c>
      <c r="O296" t="s">
        <v>95</v>
      </c>
      <c r="P296" t="s">
        <v>107</v>
      </c>
      <c r="Q296" t="s">
        <v>51</v>
      </c>
      <c r="R296" t="s">
        <v>51</v>
      </c>
      <c r="S296" t="s">
        <v>50</v>
      </c>
      <c r="T296" t="s">
        <v>51</v>
      </c>
    </row>
    <row r="297" spans="1:20">
      <c r="A297" t="s">
        <v>609</v>
      </c>
      <c r="B297" t="s">
        <v>71</v>
      </c>
      <c r="C297" t="s">
        <v>49</v>
      </c>
      <c r="D297" t="s">
        <v>51</v>
      </c>
      <c r="E297" t="s">
        <v>51</v>
      </c>
      <c r="F297" t="s">
        <v>51</v>
      </c>
      <c r="G297" t="s">
        <v>52</v>
      </c>
      <c r="H297" t="s">
        <v>52</v>
      </c>
      <c r="I297" t="s">
        <v>52</v>
      </c>
      <c r="J297" t="s">
        <v>590</v>
      </c>
      <c r="K297" t="s">
        <v>52</v>
      </c>
      <c r="L297" t="s">
        <v>599</v>
      </c>
      <c r="M297" t="s">
        <v>600</v>
      </c>
      <c r="N297" t="s">
        <v>163</v>
      </c>
      <c r="O297" t="s">
        <v>95</v>
      </c>
      <c r="P297" t="s">
        <v>107</v>
      </c>
      <c r="Q297" t="s">
        <v>51</v>
      </c>
      <c r="R297" t="s">
        <v>51</v>
      </c>
      <c r="S297" t="s">
        <v>50</v>
      </c>
      <c r="T297" t="s">
        <v>51</v>
      </c>
    </row>
    <row r="298" spans="1:20">
      <c r="A298" t="s">
        <v>610</v>
      </c>
      <c r="B298" t="s">
        <v>73</v>
      </c>
      <c r="C298" t="s">
        <v>49</v>
      </c>
      <c r="D298" t="s">
        <v>51</v>
      </c>
      <c r="E298" t="s">
        <v>51</v>
      </c>
      <c r="F298" t="s">
        <v>51</v>
      </c>
      <c r="G298" t="s">
        <v>52</v>
      </c>
      <c r="H298" t="s">
        <v>52</v>
      </c>
      <c r="I298" t="s">
        <v>52</v>
      </c>
      <c r="J298" t="s">
        <v>590</v>
      </c>
      <c r="K298" t="s">
        <v>52</v>
      </c>
      <c r="L298" t="s">
        <v>599</v>
      </c>
      <c r="M298" t="s">
        <v>600</v>
      </c>
      <c r="N298" t="s">
        <v>163</v>
      </c>
      <c r="O298" t="s">
        <v>95</v>
      </c>
      <c r="P298" t="s">
        <v>107</v>
      </c>
      <c r="Q298" t="s">
        <v>51</v>
      </c>
      <c r="R298" t="s">
        <v>51</v>
      </c>
      <c r="S298" t="s">
        <v>50</v>
      </c>
      <c r="T298" t="s">
        <v>51</v>
      </c>
    </row>
    <row r="299" spans="1:20">
      <c r="A299" t="s">
        <v>611</v>
      </c>
      <c r="B299" t="s">
        <v>75</v>
      </c>
      <c r="C299" t="s">
        <v>49</v>
      </c>
      <c r="D299" t="s">
        <v>51</v>
      </c>
      <c r="E299" t="s">
        <v>51</v>
      </c>
      <c r="F299" t="s">
        <v>51</v>
      </c>
      <c r="G299" t="s">
        <v>52</v>
      </c>
      <c r="H299" t="s">
        <v>52</v>
      </c>
      <c r="I299" t="s">
        <v>52</v>
      </c>
      <c r="J299" t="s">
        <v>590</v>
      </c>
      <c r="K299" t="s">
        <v>52</v>
      </c>
      <c r="L299" t="s">
        <v>599</v>
      </c>
      <c r="M299" t="s">
        <v>600</v>
      </c>
      <c r="N299" t="s">
        <v>163</v>
      </c>
      <c r="O299" t="s">
        <v>95</v>
      </c>
      <c r="P299" t="s">
        <v>107</v>
      </c>
      <c r="Q299" t="s">
        <v>51</v>
      </c>
      <c r="R299" t="s">
        <v>51</v>
      </c>
      <c r="S299" t="s">
        <v>50</v>
      </c>
      <c r="T299" t="s">
        <v>51</v>
      </c>
    </row>
    <row r="300" spans="1:20">
      <c r="A300" t="s">
        <v>612</v>
      </c>
      <c r="B300" t="s">
        <v>77</v>
      </c>
      <c r="C300" t="s">
        <v>49</v>
      </c>
      <c r="D300" t="s">
        <v>51</v>
      </c>
      <c r="E300" t="s">
        <v>51</v>
      </c>
      <c r="F300" t="s">
        <v>51</v>
      </c>
      <c r="G300" t="s">
        <v>52</v>
      </c>
      <c r="H300" t="s">
        <v>52</v>
      </c>
      <c r="I300" t="s">
        <v>52</v>
      </c>
      <c r="J300" t="s">
        <v>590</v>
      </c>
      <c r="K300" t="s">
        <v>52</v>
      </c>
      <c r="L300" t="s">
        <v>599</v>
      </c>
      <c r="M300" t="s">
        <v>600</v>
      </c>
      <c r="N300" t="s">
        <v>163</v>
      </c>
      <c r="O300" t="s">
        <v>95</v>
      </c>
      <c r="P300" t="s">
        <v>107</v>
      </c>
      <c r="Q300" t="s">
        <v>51</v>
      </c>
      <c r="R300" t="s">
        <v>51</v>
      </c>
      <c r="S300" t="s">
        <v>50</v>
      </c>
      <c r="T300" t="s">
        <v>51</v>
      </c>
    </row>
    <row r="301" spans="1:20">
      <c r="A301" t="s">
        <v>613</v>
      </c>
      <c r="B301" t="s">
        <v>79</v>
      </c>
      <c r="C301" t="s">
        <v>49</v>
      </c>
      <c r="D301" t="s">
        <v>51</v>
      </c>
      <c r="E301" t="s">
        <v>51</v>
      </c>
      <c r="F301" t="s">
        <v>51</v>
      </c>
      <c r="G301" t="s">
        <v>52</v>
      </c>
      <c r="H301" t="s">
        <v>52</v>
      </c>
      <c r="I301" t="s">
        <v>52</v>
      </c>
      <c r="J301" t="s">
        <v>590</v>
      </c>
      <c r="K301" t="s">
        <v>52</v>
      </c>
      <c r="L301" t="s">
        <v>599</v>
      </c>
      <c r="M301" t="s">
        <v>600</v>
      </c>
      <c r="N301" t="s">
        <v>163</v>
      </c>
      <c r="O301" t="s">
        <v>95</v>
      </c>
      <c r="P301" t="s">
        <v>107</v>
      </c>
      <c r="Q301" t="s">
        <v>51</v>
      </c>
      <c r="R301" t="s">
        <v>51</v>
      </c>
      <c r="S301" t="s">
        <v>50</v>
      </c>
      <c r="T301" t="s">
        <v>51</v>
      </c>
    </row>
    <row r="302" spans="1:20">
      <c r="A302" t="s">
        <v>614</v>
      </c>
      <c r="B302" t="s">
        <v>81</v>
      </c>
      <c r="C302" t="s">
        <v>49</v>
      </c>
      <c r="D302" t="s">
        <v>51</v>
      </c>
      <c r="E302" t="s">
        <v>51</v>
      </c>
      <c r="F302" t="s">
        <v>51</v>
      </c>
      <c r="G302" t="s">
        <v>52</v>
      </c>
      <c r="H302" t="s">
        <v>52</v>
      </c>
      <c r="I302" t="s">
        <v>52</v>
      </c>
      <c r="J302" t="s">
        <v>590</v>
      </c>
      <c r="K302" t="s">
        <v>52</v>
      </c>
      <c r="L302" t="s">
        <v>599</v>
      </c>
      <c r="M302" t="s">
        <v>600</v>
      </c>
      <c r="N302" t="s">
        <v>163</v>
      </c>
      <c r="O302" t="s">
        <v>95</v>
      </c>
      <c r="P302" t="s">
        <v>107</v>
      </c>
      <c r="Q302" t="s">
        <v>51</v>
      </c>
      <c r="R302" t="s">
        <v>51</v>
      </c>
      <c r="S302" t="s">
        <v>50</v>
      </c>
      <c r="T302" t="s">
        <v>51</v>
      </c>
    </row>
    <row r="303" spans="1:20">
      <c r="A303" t="s">
        <v>615</v>
      </c>
      <c r="B303" t="s">
        <v>83</v>
      </c>
      <c r="C303" t="s">
        <v>49</v>
      </c>
      <c r="D303" t="s">
        <v>51</v>
      </c>
      <c r="E303" t="s">
        <v>51</v>
      </c>
      <c r="F303" t="s">
        <v>51</v>
      </c>
      <c r="G303" t="s">
        <v>52</v>
      </c>
      <c r="H303" t="s">
        <v>52</v>
      </c>
      <c r="I303" t="s">
        <v>52</v>
      </c>
      <c r="J303" t="s">
        <v>590</v>
      </c>
      <c r="K303" t="s">
        <v>52</v>
      </c>
      <c r="L303" t="s">
        <v>599</v>
      </c>
      <c r="M303" t="s">
        <v>600</v>
      </c>
      <c r="N303" t="s">
        <v>163</v>
      </c>
      <c r="O303" t="s">
        <v>95</v>
      </c>
      <c r="P303" t="s">
        <v>107</v>
      </c>
      <c r="Q303" t="s">
        <v>51</v>
      </c>
      <c r="R303" t="s">
        <v>51</v>
      </c>
      <c r="S303" t="s">
        <v>50</v>
      </c>
      <c r="T303" t="s">
        <v>51</v>
      </c>
    </row>
    <row r="304" spans="1:20">
      <c r="A304" t="s">
        <v>616</v>
      </c>
      <c r="B304" t="s">
        <v>85</v>
      </c>
      <c r="C304" t="s">
        <v>49</v>
      </c>
      <c r="D304" t="s">
        <v>51</v>
      </c>
      <c r="E304" t="s">
        <v>51</v>
      </c>
      <c r="F304" t="s">
        <v>51</v>
      </c>
      <c r="G304" t="s">
        <v>52</v>
      </c>
      <c r="H304" t="s">
        <v>52</v>
      </c>
      <c r="I304" t="s">
        <v>52</v>
      </c>
      <c r="J304" t="s">
        <v>590</v>
      </c>
      <c r="K304" t="s">
        <v>52</v>
      </c>
      <c r="L304" t="s">
        <v>599</v>
      </c>
      <c r="M304" t="s">
        <v>600</v>
      </c>
      <c r="N304" t="s">
        <v>163</v>
      </c>
      <c r="O304" t="s">
        <v>95</v>
      </c>
      <c r="P304" t="s">
        <v>107</v>
      </c>
      <c r="Q304" t="s">
        <v>51</v>
      </c>
      <c r="R304" t="s">
        <v>51</v>
      </c>
      <c r="S304" t="s">
        <v>50</v>
      </c>
      <c r="T304" t="s">
        <v>51</v>
      </c>
    </row>
    <row r="305" spans="1:20">
      <c r="A305" t="s">
        <v>617</v>
      </c>
      <c r="B305" t="s">
        <v>87</v>
      </c>
      <c r="C305" t="s">
        <v>49</v>
      </c>
      <c r="D305" t="s">
        <v>51</v>
      </c>
      <c r="E305" t="s">
        <v>51</v>
      </c>
      <c r="F305" t="s">
        <v>51</v>
      </c>
      <c r="G305" t="s">
        <v>52</v>
      </c>
      <c r="H305" t="s">
        <v>52</v>
      </c>
      <c r="I305" t="s">
        <v>52</v>
      </c>
      <c r="J305" t="s">
        <v>590</v>
      </c>
      <c r="K305" t="s">
        <v>52</v>
      </c>
      <c r="L305" t="s">
        <v>599</v>
      </c>
      <c r="M305" t="s">
        <v>600</v>
      </c>
      <c r="N305" t="s">
        <v>163</v>
      </c>
      <c r="O305" t="s">
        <v>95</v>
      </c>
      <c r="P305" t="s">
        <v>107</v>
      </c>
      <c r="Q305" t="s">
        <v>51</v>
      </c>
      <c r="R305" t="s">
        <v>51</v>
      </c>
      <c r="S305" t="s">
        <v>50</v>
      </c>
      <c r="T305" t="s">
        <v>51</v>
      </c>
    </row>
    <row r="306" spans="1:20">
      <c r="A306" t="s">
        <v>618</v>
      </c>
      <c r="B306" t="s">
        <v>89</v>
      </c>
      <c r="C306" t="s">
        <v>49</v>
      </c>
      <c r="D306" t="s">
        <v>51</v>
      </c>
      <c r="E306" t="s">
        <v>51</v>
      </c>
      <c r="F306" t="s">
        <v>51</v>
      </c>
      <c r="G306" t="s">
        <v>52</v>
      </c>
      <c r="H306" t="s">
        <v>52</v>
      </c>
      <c r="I306" t="s">
        <v>52</v>
      </c>
      <c r="J306" t="s">
        <v>590</v>
      </c>
      <c r="K306" t="s">
        <v>52</v>
      </c>
      <c r="L306" t="s">
        <v>599</v>
      </c>
      <c r="M306" t="s">
        <v>600</v>
      </c>
      <c r="N306" t="s">
        <v>163</v>
      </c>
      <c r="O306" t="s">
        <v>95</v>
      </c>
      <c r="P306" t="s">
        <v>107</v>
      </c>
      <c r="Q306" t="s">
        <v>51</v>
      </c>
      <c r="R306" t="s">
        <v>51</v>
      </c>
      <c r="S306" t="s">
        <v>50</v>
      </c>
      <c r="T306" t="s">
        <v>51</v>
      </c>
    </row>
    <row r="307" spans="1:20">
      <c r="A307" t="s">
        <v>619</v>
      </c>
      <c r="B307" t="s">
        <v>91</v>
      </c>
      <c r="C307" t="s">
        <v>49</v>
      </c>
      <c r="D307" t="s">
        <v>51</v>
      </c>
      <c r="E307" t="s">
        <v>51</v>
      </c>
      <c r="F307" t="s">
        <v>51</v>
      </c>
      <c r="G307" t="s">
        <v>52</v>
      </c>
      <c r="H307" t="s">
        <v>52</v>
      </c>
      <c r="I307" t="s">
        <v>52</v>
      </c>
      <c r="J307" t="s">
        <v>590</v>
      </c>
      <c r="K307" t="s">
        <v>52</v>
      </c>
      <c r="L307" t="s">
        <v>599</v>
      </c>
      <c r="M307" t="s">
        <v>600</v>
      </c>
      <c r="N307" t="s">
        <v>163</v>
      </c>
      <c r="O307" t="s">
        <v>95</v>
      </c>
      <c r="P307" t="s">
        <v>107</v>
      </c>
      <c r="Q307" t="s">
        <v>51</v>
      </c>
      <c r="R307" t="s">
        <v>51</v>
      </c>
      <c r="S307" t="s">
        <v>50</v>
      </c>
      <c r="T307" t="s">
        <v>51</v>
      </c>
    </row>
    <row r="308" spans="1:20">
      <c r="A308" t="s">
        <v>620</v>
      </c>
      <c r="B308" t="s">
        <v>93</v>
      </c>
      <c r="C308" t="s">
        <v>49</v>
      </c>
      <c r="D308" t="s">
        <v>51</v>
      </c>
      <c r="E308" t="s">
        <v>51</v>
      </c>
      <c r="F308" t="s">
        <v>51</v>
      </c>
      <c r="G308" t="s">
        <v>52</v>
      </c>
      <c r="H308" t="s">
        <v>52</v>
      </c>
      <c r="I308" t="s">
        <v>52</v>
      </c>
      <c r="J308" t="s">
        <v>590</v>
      </c>
      <c r="K308" t="s">
        <v>52</v>
      </c>
      <c r="L308" t="s">
        <v>599</v>
      </c>
      <c r="M308" t="s">
        <v>600</v>
      </c>
      <c r="N308" t="s">
        <v>163</v>
      </c>
      <c r="O308" t="s">
        <v>95</v>
      </c>
      <c r="P308" t="s">
        <v>107</v>
      </c>
      <c r="Q308" t="s">
        <v>51</v>
      </c>
      <c r="R308" t="s">
        <v>51</v>
      </c>
      <c r="S308" t="s">
        <v>50</v>
      </c>
      <c r="T308" t="s">
        <v>51</v>
      </c>
    </row>
    <row r="309" spans="1:20">
      <c r="A309" t="s">
        <v>621</v>
      </c>
      <c r="B309" t="s">
        <v>95</v>
      </c>
      <c r="C309" t="s">
        <v>49</v>
      </c>
      <c r="D309" t="s">
        <v>51</v>
      </c>
      <c r="E309" t="s">
        <v>51</v>
      </c>
      <c r="F309" t="s">
        <v>51</v>
      </c>
      <c r="G309" t="s">
        <v>52</v>
      </c>
      <c r="H309" t="s">
        <v>52</v>
      </c>
      <c r="I309" t="s">
        <v>52</v>
      </c>
      <c r="J309" t="s">
        <v>590</v>
      </c>
      <c r="K309" t="s">
        <v>52</v>
      </c>
      <c r="L309" t="s">
        <v>599</v>
      </c>
      <c r="M309" t="s">
        <v>600</v>
      </c>
      <c r="N309" t="s">
        <v>163</v>
      </c>
      <c r="O309" t="s">
        <v>95</v>
      </c>
      <c r="P309" t="s">
        <v>107</v>
      </c>
      <c r="Q309" t="s">
        <v>51</v>
      </c>
      <c r="R309" t="s">
        <v>51</v>
      </c>
      <c r="S309" t="s">
        <v>50</v>
      </c>
      <c r="T309" t="s">
        <v>51</v>
      </c>
    </row>
    <row r="310" spans="1:20">
      <c r="A310" t="s">
        <v>622</v>
      </c>
      <c r="B310" t="s">
        <v>97</v>
      </c>
      <c r="C310" t="s">
        <v>49</v>
      </c>
      <c r="D310" t="s">
        <v>51</v>
      </c>
      <c r="E310" t="s">
        <v>51</v>
      </c>
      <c r="F310" t="s">
        <v>51</v>
      </c>
      <c r="G310" t="s">
        <v>52</v>
      </c>
      <c r="H310" t="s">
        <v>52</v>
      </c>
      <c r="I310" t="s">
        <v>52</v>
      </c>
      <c r="J310" t="s">
        <v>590</v>
      </c>
      <c r="K310" t="s">
        <v>52</v>
      </c>
      <c r="L310" t="s">
        <v>599</v>
      </c>
      <c r="M310" t="s">
        <v>600</v>
      </c>
      <c r="N310" t="s">
        <v>163</v>
      </c>
      <c r="O310" t="s">
        <v>95</v>
      </c>
      <c r="P310" t="s">
        <v>107</v>
      </c>
      <c r="Q310" t="s">
        <v>51</v>
      </c>
      <c r="R310" t="s">
        <v>51</v>
      </c>
      <c r="S310" t="s">
        <v>50</v>
      </c>
      <c r="T310" t="s">
        <v>51</v>
      </c>
    </row>
    <row r="311" spans="1:20">
      <c r="A311" t="s">
        <v>623</v>
      </c>
      <c r="B311" t="s">
        <v>99</v>
      </c>
      <c r="C311" t="s">
        <v>49</v>
      </c>
      <c r="D311" t="s">
        <v>51</v>
      </c>
      <c r="E311" t="s">
        <v>51</v>
      </c>
      <c r="F311" t="s">
        <v>51</v>
      </c>
      <c r="G311" t="s">
        <v>52</v>
      </c>
      <c r="H311" t="s">
        <v>52</v>
      </c>
      <c r="I311" t="s">
        <v>52</v>
      </c>
      <c r="J311" t="s">
        <v>590</v>
      </c>
      <c r="K311" t="s">
        <v>52</v>
      </c>
      <c r="L311" t="s">
        <v>599</v>
      </c>
      <c r="M311" t="s">
        <v>600</v>
      </c>
      <c r="N311" t="s">
        <v>163</v>
      </c>
      <c r="O311" t="s">
        <v>95</v>
      </c>
      <c r="P311" t="s">
        <v>107</v>
      </c>
      <c r="Q311" t="s">
        <v>51</v>
      </c>
      <c r="R311" t="s">
        <v>51</v>
      </c>
      <c r="S311" t="s">
        <v>50</v>
      </c>
      <c r="T311" t="s">
        <v>51</v>
      </c>
    </row>
    <row r="312" spans="1:20">
      <c r="A312" t="s">
        <v>624</v>
      </c>
      <c r="B312" t="s">
        <v>101</v>
      </c>
      <c r="C312" t="s">
        <v>49</v>
      </c>
      <c r="D312" t="s">
        <v>51</v>
      </c>
      <c r="E312" t="s">
        <v>51</v>
      </c>
      <c r="F312" t="s">
        <v>51</v>
      </c>
      <c r="G312" t="s">
        <v>52</v>
      </c>
      <c r="H312" t="s">
        <v>52</v>
      </c>
      <c r="I312" t="s">
        <v>52</v>
      </c>
      <c r="J312" t="s">
        <v>590</v>
      </c>
      <c r="K312" t="s">
        <v>52</v>
      </c>
      <c r="L312" t="s">
        <v>599</v>
      </c>
      <c r="M312" t="s">
        <v>600</v>
      </c>
      <c r="N312" t="s">
        <v>163</v>
      </c>
      <c r="O312" t="s">
        <v>95</v>
      </c>
      <c r="P312" t="s">
        <v>107</v>
      </c>
      <c r="Q312" t="s">
        <v>51</v>
      </c>
      <c r="R312" t="s">
        <v>51</v>
      </c>
      <c r="S312" t="s">
        <v>50</v>
      </c>
      <c r="T312" t="s">
        <v>51</v>
      </c>
    </row>
    <row r="313" spans="1:20">
      <c r="A313" t="s">
        <v>625</v>
      </c>
      <c r="B313" t="s">
        <v>103</v>
      </c>
      <c r="C313" t="s">
        <v>49</v>
      </c>
      <c r="D313" t="s">
        <v>51</v>
      </c>
      <c r="E313" t="s">
        <v>51</v>
      </c>
      <c r="F313" t="s">
        <v>51</v>
      </c>
      <c r="G313" t="s">
        <v>52</v>
      </c>
      <c r="H313" t="s">
        <v>52</v>
      </c>
      <c r="I313" t="s">
        <v>52</v>
      </c>
      <c r="J313" t="s">
        <v>590</v>
      </c>
      <c r="K313" t="s">
        <v>52</v>
      </c>
      <c r="L313" t="s">
        <v>599</v>
      </c>
      <c r="M313" t="s">
        <v>600</v>
      </c>
      <c r="N313" t="s">
        <v>163</v>
      </c>
      <c r="O313" t="s">
        <v>95</v>
      </c>
      <c r="P313" t="s">
        <v>107</v>
      </c>
      <c r="Q313" t="s">
        <v>51</v>
      </c>
      <c r="R313" t="s">
        <v>51</v>
      </c>
      <c r="S313" t="s">
        <v>50</v>
      </c>
      <c r="T313" t="s">
        <v>51</v>
      </c>
    </row>
    <row r="314" spans="1:20">
      <c r="A314" t="s">
        <v>626</v>
      </c>
      <c r="B314" t="s">
        <v>105</v>
      </c>
      <c r="C314" t="s">
        <v>49</v>
      </c>
      <c r="D314" t="s">
        <v>51</v>
      </c>
      <c r="E314" t="s">
        <v>51</v>
      </c>
      <c r="F314" t="s">
        <v>51</v>
      </c>
      <c r="G314" t="s">
        <v>52</v>
      </c>
      <c r="H314" t="s">
        <v>52</v>
      </c>
      <c r="I314" t="s">
        <v>52</v>
      </c>
      <c r="J314" t="s">
        <v>590</v>
      </c>
      <c r="K314" t="s">
        <v>52</v>
      </c>
      <c r="L314" t="s">
        <v>599</v>
      </c>
      <c r="M314" t="s">
        <v>600</v>
      </c>
      <c r="N314" t="s">
        <v>163</v>
      </c>
      <c r="O314" t="s">
        <v>95</v>
      </c>
      <c r="P314" t="s">
        <v>107</v>
      </c>
      <c r="Q314" t="s">
        <v>51</v>
      </c>
      <c r="R314" t="s">
        <v>51</v>
      </c>
      <c r="S314" t="s">
        <v>50</v>
      </c>
      <c r="T314" t="s">
        <v>51</v>
      </c>
    </row>
    <row r="315" spans="1:20">
      <c r="A315" t="s">
        <v>627</v>
      </c>
      <c r="B315" t="s">
        <v>107</v>
      </c>
      <c r="C315" t="s">
        <v>49</v>
      </c>
      <c r="D315" t="s">
        <v>51</v>
      </c>
      <c r="E315" t="s">
        <v>51</v>
      </c>
      <c r="F315" t="s">
        <v>51</v>
      </c>
      <c r="G315" t="s">
        <v>52</v>
      </c>
      <c r="H315" t="s">
        <v>52</v>
      </c>
      <c r="I315" t="s">
        <v>52</v>
      </c>
      <c r="J315" t="s">
        <v>590</v>
      </c>
      <c r="K315" t="s">
        <v>52</v>
      </c>
      <c r="L315" t="s">
        <v>599</v>
      </c>
      <c r="M315" t="s">
        <v>600</v>
      </c>
      <c r="N315" t="s">
        <v>163</v>
      </c>
      <c r="O315" t="s">
        <v>95</v>
      </c>
      <c r="P315" t="s">
        <v>107</v>
      </c>
      <c r="Q315" t="s">
        <v>51</v>
      </c>
      <c r="R315" t="s">
        <v>51</v>
      </c>
      <c r="S315" t="s">
        <v>50</v>
      </c>
      <c r="T315" t="s">
        <v>51</v>
      </c>
    </row>
    <row r="316" spans="1:20">
      <c r="A316" t="s">
        <v>628</v>
      </c>
      <c r="B316" t="s">
        <v>109</v>
      </c>
      <c r="C316" t="s">
        <v>49</v>
      </c>
      <c r="D316" t="s">
        <v>51</v>
      </c>
      <c r="E316" t="s">
        <v>51</v>
      </c>
      <c r="F316" t="s">
        <v>51</v>
      </c>
      <c r="G316" t="s">
        <v>52</v>
      </c>
      <c r="H316" t="s">
        <v>52</v>
      </c>
      <c r="I316" t="s">
        <v>52</v>
      </c>
      <c r="J316" t="s">
        <v>590</v>
      </c>
      <c r="K316" t="s">
        <v>52</v>
      </c>
      <c r="L316" t="s">
        <v>599</v>
      </c>
      <c r="M316" t="s">
        <v>600</v>
      </c>
      <c r="N316" t="s">
        <v>163</v>
      </c>
      <c r="O316" t="s">
        <v>95</v>
      </c>
      <c r="P316" t="s">
        <v>107</v>
      </c>
      <c r="Q316" t="s">
        <v>51</v>
      </c>
      <c r="R316" t="s">
        <v>51</v>
      </c>
      <c r="S316" t="s">
        <v>50</v>
      </c>
      <c r="T316" t="s">
        <v>51</v>
      </c>
    </row>
    <row r="317" spans="1:20">
      <c r="A317" t="s">
        <v>629</v>
      </c>
      <c r="B317" t="s">
        <v>111</v>
      </c>
      <c r="C317" t="s">
        <v>49</v>
      </c>
      <c r="D317" t="s">
        <v>51</v>
      </c>
      <c r="E317" t="s">
        <v>51</v>
      </c>
      <c r="F317" t="s">
        <v>51</v>
      </c>
      <c r="G317" t="s">
        <v>52</v>
      </c>
      <c r="H317" t="s">
        <v>52</v>
      </c>
      <c r="I317" t="s">
        <v>52</v>
      </c>
      <c r="J317" t="s">
        <v>590</v>
      </c>
      <c r="K317" t="s">
        <v>52</v>
      </c>
      <c r="L317" t="s">
        <v>599</v>
      </c>
      <c r="M317" t="s">
        <v>600</v>
      </c>
      <c r="N317" t="s">
        <v>163</v>
      </c>
      <c r="O317" t="s">
        <v>95</v>
      </c>
      <c r="P317" t="s">
        <v>107</v>
      </c>
      <c r="Q317" t="s">
        <v>51</v>
      </c>
      <c r="R317" t="s">
        <v>51</v>
      </c>
      <c r="S317" t="s">
        <v>50</v>
      </c>
      <c r="T317" t="s">
        <v>51</v>
      </c>
    </row>
    <row r="318" spans="1:20">
      <c r="A318" t="s">
        <v>630</v>
      </c>
      <c r="B318" t="s">
        <v>113</v>
      </c>
      <c r="C318" t="s">
        <v>49</v>
      </c>
      <c r="D318" t="s">
        <v>51</v>
      </c>
      <c r="E318" t="s">
        <v>51</v>
      </c>
      <c r="F318" t="s">
        <v>51</v>
      </c>
      <c r="G318" t="s">
        <v>52</v>
      </c>
      <c r="H318" t="s">
        <v>52</v>
      </c>
      <c r="I318" t="s">
        <v>52</v>
      </c>
      <c r="J318" t="s">
        <v>590</v>
      </c>
      <c r="K318" t="s">
        <v>52</v>
      </c>
      <c r="L318" t="s">
        <v>599</v>
      </c>
      <c r="M318" t="s">
        <v>600</v>
      </c>
      <c r="N318" t="s">
        <v>163</v>
      </c>
      <c r="O318" t="s">
        <v>95</v>
      </c>
      <c r="P318" t="s">
        <v>107</v>
      </c>
      <c r="Q318" t="s">
        <v>51</v>
      </c>
      <c r="R318" t="s">
        <v>51</v>
      </c>
      <c r="S318" t="s">
        <v>50</v>
      </c>
      <c r="T318" t="s">
        <v>51</v>
      </c>
    </row>
    <row r="319" spans="1:20">
      <c r="A319" t="s">
        <v>631</v>
      </c>
      <c r="B319" t="s">
        <v>115</v>
      </c>
      <c r="C319" t="s">
        <v>49</v>
      </c>
      <c r="D319" t="s">
        <v>51</v>
      </c>
      <c r="E319" t="s">
        <v>51</v>
      </c>
      <c r="F319" t="s">
        <v>51</v>
      </c>
      <c r="G319" t="s">
        <v>52</v>
      </c>
      <c r="H319" t="s">
        <v>52</v>
      </c>
      <c r="I319" t="s">
        <v>52</v>
      </c>
      <c r="J319" t="s">
        <v>590</v>
      </c>
      <c r="K319" t="s">
        <v>52</v>
      </c>
      <c r="L319" t="s">
        <v>599</v>
      </c>
      <c r="M319" t="s">
        <v>600</v>
      </c>
      <c r="N319" t="s">
        <v>163</v>
      </c>
      <c r="O319" t="s">
        <v>95</v>
      </c>
      <c r="P319" t="s">
        <v>107</v>
      </c>
      <c r="Q319" t="s">
        <v>51</v>
      </c>
      <c r="R319" t="s">
        <v>51</v>
      </c>
      <c r="S319" t="s">
        <v>50</v>
      </c>
      <c r="T319" t="s">
        <v>51</v>
      </c>
    </row>
    <row r="320" spans="1:20">
      <c r="A320" t="s">
        <v>632</v>
      </c>
      <c r="B320" t="s">
        <v>117</v>
      </c>
      <c r="C320" t="s">
        <v>49</v>
      </c>
      <c r="D320" t="s">
        <v>51</v>
      </c>
      <c r="E320" t="s">
        <v>51</v>
      </c>
      <c r="F320" t="s">
        <v>51</v>
      </c>
      <c r="G320" t="s">
        <v>52</v>
      </c>
      <c r="H320" t="s">
        <v>52</v>
      </c>
      <c r="I320" t="s">
        <v>52</v>
      </c>
      <c r="J320" t="s">
        <v>590</v>
      </c>
      <c r="K320" t="s">
        <v>52</v>
      </c>
      <c r="L320" t="s">
        <v>599</v>
      </c>
      <c r="M320" t="s">
        <v>600</v>
      </c>
      <c r="N320" t="s">
        <v>163</v>
      </c>
      <c r="O320" t="s">
        <v>95</v>
      </c>
      <c r="P320" t="s">
        <v>107</v>
      </c>
      <c r="Q320" t="s">
        <v>51</v>
      </c>
      <c r="R320" t="s">
        <v>51</v>
      </c>
      <c r="S320" t="s">
        <v>50</v>
      </c>
      <c r="T320" t="s">
        <v>51</v>
      </c>
    </row>
    <row r="321" spans="1:20">
      <c r="A321" t="s">
        <v>633</v>
      </c>
      <c r="B321" t="s">
        <v>119</v>
      </c>
      <c r="C321" t="s">
        <v>49</v>
      </c>
      <c r="D321" t="s">
        <v>51</v>
      </c>
      <c r="E321" t="s">
        <v>51</v>
      </c>
      <c r="F321" t="s">
        <v>51</v>
      </c>
      <c r="G321" t="s">
        <v>52</v>
      </c>
      <c r="H321" t="s">
        <v>52</v>
      </c>
      <c r="I321" t="s">
        <v>52</v>
      </c>
      <c r="J321" t="s">
        <v>590</v>
      </c>
      <c r="K321" t="s">
        <v>52</v>
      </c>
      <c r="L321" t="s">
        <v>599</v>
      </c>
      <c r="M321" t="s">
        <v>600</v>
      </c>
      <c r="N321" t="s">
        <v>163</v>
      </c>
      <c r="O321" t="s">
        <v>95</v>
      </c>
      <c r="P321" t="s">
        <v>107</v>
      </c>
      <c r="Q321" t="s">
        <v>51</v>
      </c>
      <c r="R321" t="s">
        <v>51</v>
      </c>
      <c r="S321" t="s">
        <v>50</v>
      </c>
      <c r="T321" t="s">
        <v>51</v>
      </c>
    </row>
    <row r="322" spans="1:20">
      <c r="A322" t="s">
        <v>634</v>
      </c>
      <c r="B322" t="s">
        <v>121</v>
      </c>
      <c r="C322" t="s">
        <v>49</v>
      </c>
      <c r="D322" t="s">
        <v>51</v>
      </c>
      <c r="E322" t="s">
        <v>51</v>
      </c>
      <c r="F322" t="s">
        <v>51</v>
      </c>
      <c r="G322" t="s">
        <v>52</v>
      </c>
      <c r="H322" t="s">
        <v>52</v>
      </c>
      <c r="I322" t="s">
        <v>52</v>
      </c>
      <c r="J322" t="s">
        <v>590</v>
      </c>
      <c r="K322" t="s">
        <v>52</v>
      </c>
      <c r="L322" t="s">
        <v>599</v>
      </c>
      <c r="M322" t="s">
        <v>600</v>
      </c>
      <c r="N322" t="s">
        <v>163</v>
      </c>
      <c r="O322" t="s">
        <v>95</v>
      </c>
      <c r="P322" t="s">
        <v>107</v>
      </c>
      <c r="Q322" t="s">
        <v>51</v>
      </c>
      <c r="R322" t="s">
        <v>51</v>
      </c>
      <c r="S322" t="s">
        <v>50</v>
      </c>
      <c r="T322" t="s">
        <v>51</v>
      </c>
    </row>
    <row r="323" spans="1:20">
      <c r="A323" t="s">
        <v>635</v>
      </c>
      <c r="B323" t="s">
        <v>123</v>
      </c>
      <c r="C323" t="s">
        <v>49</v>
      </c>
      <c r="D323" t="s">
        <v>51</v>
      </c>
      <c r="E323" t="s">
        <v>51</v>
      </c>
      <c r="F323" t="s">
        <v>51</v>
      </c>
      <c r="G323" t="s">
        <v>52</v>
      </c>
      <c r="H323" t="s">
        <v>52</v>
      </c>
      <c r="I323" t="s">
        <v>52</v>
      </c>
      <c r="J323" t="s">
        <v>590</v>
      </c>
      <c r="K323" t="s">
        <v>52</v>
      </c>
      <c r="L323" t="s">
        <v>599</v>
      </c>
      <c r="M323" t="s">
        <v>600</v>
      </c>
      <c r="N323" t="s">
        <v>163</v>
      </c>
      <c r="O323" t="s">
        <v>95</v>
      </c>
      <c r="P323" t="s">
        <v>107</v>
      </c>
      <c r="Q323" t="s">
        <v>51</v>
      </c>
      <c r="R323" t="s">
        <v>51</v>
      </c>
      <c r="S323" t="s">
        <v>50</v>
      </c>
      <c r="T323" t="s">
        <v>51</v>
      </c>
    </row>
    <row r="324" spans="1:20">
      <c r="A324" t="s">
        <v>636</v>
      </c>
      <c r="B324" t="s">
        <v>125</v>
      </c>
      <c r="C324" t="s">
        <v>49</v>
      </c>
      <c r="D324" t="s">
        <v>51</v>
      </c>
      <c r="E324" t="s">
        <v>51</v>
      </c>
      <c r="F324" t="s">
        <v>51</v>
      </c>
      <c r="G324" t="s">
        <v>52</v>
      </c>
      <c r="H324" t="s">
        <v>52</v>
      </c>
      <c r="I324" t="s">
        <v>52</v>
      </c>
      <c r="J324" t="s">
        <v>590</v>
      </c>
      <c r="K324" t="s">
        <v>52</v>
      </c>
      <c r="L324" t="s">
        <v>599</v>
      </c>
      <c r="M324" t="s">
        <v>600</v>
      </c>
      <c r="N324" t="s">
        <v>163</v>
      </c>
      <c r="O324" t="s">
        <v>95</v>
      </c>
      <c r="P324" t="s">
        <v>107</v>
      </c>
      <c r="Q324" t="s">
        <v>51</v>
      </c>
      <c r="R324" t="s">
        <v>51</v>
      </c>
      <c r="S324" t="s">
        <v>50</v>
      </c>
      <c r="T324" t="s">
        <v>51</v>
      </c>
    </row>
    <row r="325" spans="1:20">
      <c r="A325" t="s">
        <v>637</v>
      </c>
      <c r="B325" t="s">
        <v>127</v>
      </c>
      <c r="C325" t="s">
        <v>49</v>
      </c>
      <c r="D325" t="s">
        <v>51</v>
      </c>
      <c r="E325" t="s">
        <v>51</v>
      </c>
      <c r="F325" t="s">
        <v>51</v>
      </c>
      <c r="G325" t="s">
        <v>52</v>
      </c>
      <c r="H325" t="s">
        <v>52</v>
      </c>
      <c r="I325" t="s">
        <v>52</v>
      </c>
      <c r="J325" t="s">
        <v>590</v>
      </c>
      <c r="K325" t="s">
        <v>52</v>
      </c>
      <c r="L325" t="s">
        <v>599</v>
      </c>
      <c r="M325" t="s">
        <v>600</v>
      </c>
      <c r="N325" t="s">
        <v>163</v>
      </c>
      <c r="O325" t="s">
        <v>95</v>
      </c>
      <c r="P325" t="s">
        <v>107</v>
      </c>
      <c r="Q325" t="s">
        <v>51</v>
      </c>
      <c r="R325" t="s">
        <v>51</v>
      </c>
      <c r="S325" t="s">
        <v>50</v>
      </c>
      <c r="T325" t="s">
        <v>51</v>
      </c>
    </row>
    <row r="326" spans="1:20">
      <c r="A326" t="s">
        <v>638</v>
      </c>
      <c r="B326" t="s">
        <v>129</v>
      </c>
      <c r="C326" t="s">
        <v>49</v>
      </c>
      <c r="D326" t="s">
        <v>51</v>
      </c>
      <c r="E326" t="s">
        <v>51</v>
      </c>
      <c r="F326" t="s">
        <v>51</v>
      </c>
      <c r="G326" t="s">
        <v>52</v>
      </c>
      <c r="H326" t="s">
        <v>52</v>
      </c>
      <c r="I326" t="s">
        <v>52</v>
      </c>
      <c r="J326" t="s">
        <v>590</v>
      </c>
      <c r="K326" t="s">
        <v>52</v>
      </c>
      <c r="L326" t="s">
        <v>599</v>
      </c>
      <c r="M326" t="s">
        <v>600</v>
      </c>
      <c r="N326" t="s">
        <v>163</v>
      </c>
      <c r="O326" t="s">
        <v>95</v>
      </c>
      <c r="P326" t="s">
        <v>107</v>
      </c>
      <c r="Q326" t="s">
        <v>51</v>
      </c>
      <c r="R326" t="s">
        <v>51</v>
      </c>
      <c r="S326" t="s">
        <v>50</v>
      </c>
      <c r="T326" t="s">
        <v>51</v>
      </c>
    </row>
    <row r="327" spans="1:20">
      <c r="A327" t="s">
        <v>639</v>
      </c>
      <c r="B327" t="s">
        <v>131</v>
      </c>
      <c r="C327" t="s">
        <v>49</v>
      </c>
      <c r="D327" t="s">
        <v>51</v>
      </c>
      <c r="E327" t="s">
        <v>51</v>
      </c>
      <c r="F327" t="s">
        <v>51</v>
      </c>
      <c r="G327" t="s">
        <v>52</v>
      </c>
      <c r="H327" t="s">
        <v>52</v>
      </c>
      <c r="I327" t="s">
        <v>52</v>
      </c>
      <c r="J327" t="s">
        <v>590</v>
      </c>
      <c r="K327" t="s">
        <v>52</v>
      </c>
      <c r="L327" t="s">
        <v>599</v>
      </c>
      <c r="M327" t="s">
        <v>600</v>
      </c>
      <c r="N327" t="s">
        <v>163</v>
      </c>
      <c r="O327" t="s">
        <v>95</v>
      </c>
      <c r="P327" t="s">
        <v>107</v>
      </c>
      <c r="Q327" t="s">
        <v>51</v>
      </c>
      <c r="R327" t="s">
        <v>51</v>
      </c>
      <c r="S327" t="s">
        <v>50</v>
      </c>
      <c r="T327" t="s">
        <v>51</v>
      </c>
    </row>
    <row r="328" spans="1:20">
      <c r="A328" t="s">
        <v>640</v>
      </c>
      <c r="B328" t="s">
        <v>133</v>
      </c>
      <c r="C328" t="s">
        <v>49</v>
      </c>
      <c r="D328" t="s">
        <v>51</v>
      </c>
      <c r="E328" t="s">
        <v>51</v>
      </c>
      <c r="F328" t="s">
        <v>51</v>
      </c>
      <c r="G328" t="s">
        <v>52</v>
      </c>
      <c r="H328" t="s">
        <v>52</v>
      </c>
      <c r="I328" t="s">
        <v>52</v>
      </c>
      <c r="J328" t="s">
        <v>590</v>
      </c>
      <c r="K328" t="s">
        <v>52</v>
      </c>
      <c r="L328" t="s">
        <v>599</v>
      </c>
      <c r="M328" t="s">
        <v>600</v>
      </c>
      <c r="N328" t="s">
        <v>163</v>
      </c>
      <c r="O328" t="s">
        <v>95</v>
      </c>
      <c r="P328" t="s">
        <v>107</v>
      </c>
      <c r="Q328" t="s">
        <v>51</v>
      </c>
      <c r="R328" t="s">
        <v>51</v>
      </c>
      <c r="S328" t="s">
        <v>50</v>
      </c>
      <c r="T328" t="s">
        <v>51</v>
      </c>
    </row>
    <row r="329" spans="1:20">
      <c r="A329" t="s">
        <v>641</v>
      </c>
      <c r="B329" t="s">
        <v>135</v>
      </c>
      <c r="C329" t="s">
        <v>49</v>
      </c>
      <c r="D329" t="s">
        <v>51</v>
      </c>
      <c r="E329" t="s">
        <v>51</v>
      </c>
      <c r="F329" t="s">
        <v>51</v>
      </c>
      <c r="G329" t="s">
        <v>52</v>
      </c>
      <c r="H329" t="s">
        <v>52</v>
      </c>
      <c r="I329" t="s">
        <v>52</v>
      </c>
      <c r="J329" t="s">
        <v>590</v>
      </c>
      <c r="K329" t="s">
        <v>52</v>
      </c>
      <c r="L329" t="s">
        <v>599</v>
      </c>
      <c r="M329" t="s">
        <v>600</v>
      </c>
      <c r="N329" t="s">
        <v>163</v>
      </c>
      <c r="O329" t="s">
        <v>95</v>
      </c>
      <c r="P329" t="s">
        <v>107</v>
      </c>
      <c r="Q329" t="s">
        <v>51</v>
      </c>
      <c r="R329" t="s">
        <v>51</v>
      </c>
      <c r="S329" t="s">
        <v>50</v>
      </c>
      <c r="T329" t="s">
        <v>51</v>
      </c>
    </row>
    <row r="330" spans="1:20">
      <c r="A330" t="s">
        <v>642</v>
      </c>
      <c r="B330" t="s">
        <v>137</v>
      </c>
      <c r="C330" t="s">
        <v>49</v>
      </c>
      <c r="D330" t="s">
        <v>51</v>
      </c>
      <c r="E330" t="s">
        <v>51</v>
      </c>
      <c r="F330" t="s">
        <v>51</v>
      </c>
      <c r="G330" t="s">
        <v>52</v>
      </c>
      <c r="H330" t="s">
        <v>52</v>
      </c>
      <c r="I330" t="s">
        <v>52</v>
      </c>
      <c r="J330" t="s">
        <v>590</v>
      </c>
      <c r="K330" t="s">
        <v>52</v>
      </c>
      <c r="L330" t="s">
        <v>599</v>
      </c>
      <c r="M330" t="s">
        <v>600</v>
      </c>
      <c r="N330" t="s">
        <v>163</v>
      </c>
      <c r="O330" t="s">
        <v>95</v>
      </c>
      <c r="P330" t="s">
        <v>107</v>
      </c>
      <c r="Q330" t="s">
        <v>51</v>
      </c>
      <c r="R330" t="s">
        <v>51</v>
      </c>
      <c r="S330" t="s">
        <v>50</v>
      </c>
      <c r="T330" t="s">
        <v>51</v>
      </c>
    </row>
    <row r="331" spans="1:20">
      <c r="A331" t="s">
        <v>643</v>
      </c>
      <c r="B331" t="s">
        <v>139</v>
      </c>
      <c r="C331" t="s">
        <v>49</v>
      </c>
      <c r="D331" t="s">
        <v>51</v>
      </c>
      <c r="E331" t="s">
        <v>51</v>
      </c>
      <c r="F331" t="s">
        <v>51</v>
      </c>
      <c r="G331" t="s">
        <v>52</v>
      </c>
      <c r="H331" t="s">
        <v>52</v>
      </c>
      <c r="I331" t="s">
        <v>52</v>
      </c>
      <c r="J331" t="s">
        <v>590</v>
      </c>
      <c r="K331" t="s">
        <v>52</v>
      </c>
      <c r="L331" t="s">
        <v>599</v>
      </c>
      <c r="M331" t="s">
        <v>600</v>
      </c>
      <c r="N331" t="s">
        <v>163</v>
      </c>
      <c r="O331" t="s">
        <v>95</v>
      </c>
      <c r="P331" t="s">
        <v>107</v>
      </c>
      <c r="Q331" t="s">
        <v>51</v>
      </c>
      <c r="R331" t="s">
        <v>51</v>
      </c>
      <c r="S331" t="s">
        <v>50</v>
      </c>
      <c r="T331" t="s">
        <v>51</v>
      </c>
    </row>
    <row r="332" spans="1:20">
      <c r="A332" t="s">
        <v>644</v>
      </c>
      <c r="B332" t="s">
        <v>141</v>
      </c>
      <c r="C332" t="s">
        <v>49</v>
      </c>
      <c r="D332" t="s">
        <v>51</v>
      </c>
      <c r="E332" t="s">
        <v>51</v>
      </c>
      <c r="F332" t="s">
        <v>51</v>
      </c>
      <c r="G332" t="s">
        <v>52</v>
      </c>
      <c r="H332" t="s">
        <v>52</v>
      </c>
      <c r="I332" t="s">
        <v>52</v>
      </c>
      <c r="J332" t="s">
        <v>590</v>
      </c>
      <c r="K332" t="s">
        <v>52</v>
      </c>
      <c r="L332" t="s">
        <v>599</v>
      </c>
      <c r="M332" t="s">
        <v>600</v>
      </c>
      <c r="N332" t="s">
        <v>163</v>
      </c>
      <c r="O332" t="s">
        <v>95</v>
      </c>
      <c r="P332" t="s">
        <v>107</v>
      </c>
      <c r="Q332" t="s">
        <v>51</v>
      </c>
      <c r="R332" t="s">
        <v>51</v>
      </c>
      <c r="S332" t="s">
        <v>50</v>
      </c>
      <c r="T332" t="s">
        <v>51</v>
      </c>
    </row>
    <row r="333" spans="1:20">
      <c r="A333" t="s">
        <v>645</v>
      </c>
      <c r="B333" t="s">
        <v>143</v>
      </c>
      <c r="C333" t="s">
        <v>49</v>
      </c>
      <c r="D333" t="s">
        <v>51</v>
      </c>
      <c r="E333" t="s">
        <v>51</v>
      </c>
      <c r="F333" t="s">
        <v>51</v>
      </c>
      <c r="G333" t="s">
        <v>52</v>
      </c>
      <c r="H333" t="s">
        <v>52</v>
      </c>
      <c r="I333" t="s">
        <v>52</v>
      </c>
      <c r="J333" t="s">
        <v>590</v>
      </c>
      <c r="K333" t="s">
        <v>52</v>
      </c>
      <c r="L333" t="s">
        <v>599</v>
      </c>
      <c r="M333" t="s">
        <v>600</v>
      </c>
      <c r="N333" t="s">
        <v>163</v>
      </c>
      <c r="O333" t="s">
        <v>95</v>
      </c>
      <c r="P333" t="s">
        <v>107</v>
      </c>
      <c r="Q333" t="s">
        <v>51</v>
      </c>
      <c r="R333" t="s">
        <v>51</v>
      </c>
      <c r="S333" t="s">
        <v>50</v>
      </c>
      <c r="T333" t="s">
        <v>51</v>
      </c>
    </row>
    <row r="334" spans="1:20">
      <c r="A334" t="s">
        <v>646</v>
      </c>
      <c r="B334" t="s">
        <v>145</v>
      </c>
      <c r="C334" t="s">
        <v>49</v>
      </c>
      <c r="D334" t="s">
        <v>51</v>
      </c>
      <c r="E334" t="s">
        <v>51</v>
      </c>
      <c r="F334" t="s">
        <v>51</v>
      </c>
      <c r="G334" t="s">
        <v>52</v>
      </c>
      <c r="H334" t="s">
        <v>52</v>
      </c>
      <c r="I334" t="s">
        <v>52</v>
      </c>
      <c r="J334" t="s">
        <v>590</v>
      </c>
      <c r="K334" t="s">
        <v>52</v>
      </c>
      <c r="L334" t="s">
        <v>599</v>
      </c>
      <c r="M334" t="s">
        <v>600</v>
      </c>
      <c r="N334" t="s">
        <v>163</v>
      </c>
      <c r="O334" t="s">
        <v>95</v>
      </c>
      <c r="P334" t="s">
        <v>107</v>
      </c>
      <c r="Q334" t="s">
        <v>51</v>
      </c>
      <c r="R334" t="s">
        <v>51</v>
      </c>
      <c r="S334" t="s">
        <v>50</v>
      </c>
      <c r="T334" t="s">
        <v>51</v>
      </c>
    </row>
    <row r="335" spans="1:20">
      <c r="A335" t="s">
        <v>647</v>
      </c>
      <c r="B335" t="s">
        <v>147</v>
      </c>
      <c r="C335" t="s">
        <v>49</v>
      </c>
      <c r="D335" t="s">
        <v>51</v>
      </c>
      <c r="E335" t="s">
        <v>51</v>
      </c>
      <c r="F335" t="s">
        <v>51</v>
      </c>
      <c r="G335" t="s">
        <v>52</v>
      </c>
      <c r="H335" t="s">
        <v>52</v>
      </c>
      <c r="I335" t="s">
        <v>52</v>
      </c>
      <c r="J335" t="s">
        <v>590</v>
      </c>
      <c r="K335" t="s">
        <v>52</v>
      </c>
      <c r="L335" t="s">
        <v>599</v>
      </c>
      <c r="M335" t="s">
        <v>600</v>
      </c>
      <c r="N335" t="s">
        <v>163</v>
      </c>
      <c r="O335" t="s">
        <v>95</v>
      </c>
      <c r="P335" t="s">
        <v>107</v>
      </c>
      <c r="Q335" t="s">
        <v>51</v>
      </c>
      <c r="R335" t="s">
        <v>51</v>
      </c>
      <c r="S335" t="s">
        <v>50</v>
      </c>
      <c r="T335" t="s">
        <v>51</v>
      </c>
    </row>
    <row r="336" spans="1:20">
      <c r="A336" t="s">
        <v>648</v>
      </c>
      <c r="B336" t="s">
        <v>149</v>
      </c>
      <c r="C336" t="s">
        <v>49</v>
      </c>
      <c r="D336" t="s">
        <v>51</v>
      </c>
      <c r="E336" t="s">
        <v>51</v>
      </c>
      <c r="F336" t="s">
        <v>51</v>
      </c>
      <c r="G336" t="s">
        <v>52</v>
      </c>
      <c r="H336" t="s">
        <v>52</v>
      </c>
      <c r="I336" t="s">
        <v>52</v>
      </c>
      <c r="J336" t="s">
        <v>590</v>
      </c>
      <c r="K336" t="s">
        <v>52</v>
      </c>
      <c r="L336" t="s">
        <v>599</v>
      </c>
      <c r="M336" t="s">
        <v>600</v>
      </c>
      <c r="N336" t="s">
        <v>163</v>
      </c>
      <c r="O336" t="s">
        <v>95</v>
      </c>
      <c r="P336" t="s">
        <v>107</v>
      </c>
      <c r="Q336" t="s">
        <v>51</v>
      </c>
      <c r="R336" t="s">
        <v>51</v>
      </c>
      <c r="S336" t="s">
        <v>50</v>
      </c>
      <c r="T336" t="s">
        <v>51</v>
      </c>
    </row>
    <row r="337" spans="1:20">
      <c r="A337" t="s">
        <v>649</v>
      </c>
      <c r="B337" t="s">
        <v>151</v>
      </c>
      <c r="C337" t="s">
        <v>49</v>
      </c>
      <c r="D337" t="s">
        <v>51</v>
      </c>
      <c r="E337" t="s">
        <v>51</v>
      </c>
      <c r="F337" t="s">
        <v>51</v>
      </c>
      <c r="G337" t="s">
        <v>52</v>
      </c>
      <c r="H337" t="s">
        <v>52</v>
      </c>
      <c r="I337" t="s">
        <v>52</v>
      </c>
      <c r="J337" t="s">
        <v>590</v>
      </c>
      <c r="K337" t="s">
        <v>52</v>
      </c>
      <c r="L337" t="s">
        <v>599</v>
      </c>
      <c r="M337" t="s">
        <v>600</v>
      </c>
      <c r="N337" t="s">
        <v>163</v>
      </c>
      <c r="O337" t="s">
        <v>95</v>
      </c>
      <c r="P337" t="s">
        <v>107</v>
      </c>
      <c r="Q337" t="s">
        <v>51</v>
      </c>
      <c r="R337" t="s">
        <v>51</v>
      </c>
      <c r="S337" t="s">
        <v>50</v>
      </c>
      <c r="T337" t="s">
        <v>51</v>
      </c>
    </row>
    <row r="338" spans="1:20">
      <c r="A338" t="s">
        <v>650</v>
      </c>
      <c r="B338" t="s">
        <v>153</v>
      </c>
      <c r="C338" t="s">
        <v>49</v>
      </c>
      <c r="D338" t="s">
        <v>51</v>
      </c>
      <c r="E338" t="s">
        <v>51</v>
      </c>
      <c r="F338" t="s">
        <v>51</v>
      </c>
      <c r="G338" t="s">
        <v>52</v>
      </c>
      <c r="H338" t="s">
        <v>52</v>
      </c>
      <c r="I338" t="s">
        <v>52</v>
      </c>
      <c r="J338" t="s">
        <v>590</v>
      </c>
      <c r="K338" t="s">
        <v>52</v>
      </c>
      <c r="L338" t="s">
        <v>599</v>
      </c>
      <c r="M338" t="s">
        <v>600</v>
      </c>
      <c r="N338" t="s">
        <v>163</v>
      </c>
      <c r="O338" t="s">
        <v>95</v>
      </c>
      <c r="P338" t="s">
        <v>107</v>
      </c>
      <c r="Q338" t="s">
        <v>51</v>
      </c>
      <c r="R338" t="s">
        <v>51</v>
      </c>
      <c r="S338" t="s">
        <v>50</v>
      </c>
      <c r="T338" t="s">
        <v>51</v>
      </c>
    </row>
    <row r="339" spans="1:20">
      <c r="A339" t="s">
        <v>588</v>
      </c>
      <c r="B339" t="s">
        <v>589</v>
      </c>
      <c r="C339" t="s">
        <v>165</v>
      </c>
      <c r="D339" t="s">
        <v>50</v>
      </c>
      <c r="E339" t="s">
        <v>51</v>
      </c>
      <c r="F339" t="s">
        <v>51</v>
      </c>
      <c r="G339" t="s">
        <v>52</v>
      </c>
      <c r="H339" t="s">
        <v>52</v>
      </c>
      <c r="I339" t="s">
        <v>52</v>
      </c>
      <c r="J339" t="s">
        <v>52</v>
      </c>
      <c r="K339" t="s">
        <v>52</v>
      </c>
      <c r="L339" t="s">
        <v>651</v>
      </c>
      <c r="M339" t="s">
        <v>652</v>
      </c>
      <c r="N339" t="s">
        <v>163</v>
      </c>
      <c r="O339" t="s">
        <v>111</v>
      </c>
      <c r="P339" t="s">
        <v>111</v>
      </c>
      <c r="Q339" t="s">
        <v>51</v>
      </c>
      <c r="R339" t="s">
        <v>51</v>
      </c>
      <c r="S339" t="s">
        <v>51</v>
      </c>
      <c r="T339" t="s">
        <v>51</v>
      </c>
    </row>
    <row r="340" spans="1:20">
      <c r="A340" t="s">
        <v>601</v>
      </c>
      <c r="B340" t="s">
        <v>48</v>
      </c>
      <c r="C340" t="s">
        <v>49</v>
      </c>
      <c r="D340" t="s">
        <v>51</v>
      </c>
      <c r="E340" t="s">
        <v>51</v>
      </c>
      <c r="F340" t="s">
        <v>51</v>
      </c>
      <c r="G340" t="s">
        <v>52</v>
      </c>
      <c r="H340" t="s">
        <v>52</v>
      </c>
      <c r="I340" t="s">
        <v>52</v>
      </c>
      <c r="J340" t="s">
        <v>590</v>
      </c>
      <c r="K340" t="s">
        <v>52</v>
      </c>
      <c r="L340" t="s">
        <v>651</v>
      </c>
      <c r="M340" t="s">
        <v>652</v>
      </c>
      <c r="N340" t="s">
        <v>163</v>
      </c>
      <c r="O340" t="s">
        <v>111</v>
      </c>
      <c r="P340" t="s">
        <v>111</v>
      </c>
      <c r="Q340" t="s">
        <v>51</v>
      </c>
      <c r="R340" t="s">
        <v>51</v>
      </c>
      <c r="S340" t="s">
        <v>51</v>
      </c>
      <c r="T340" t="s">
        <v>51</v>
      </c>
    </row>
    <row r="341" spans="1:20">
      <c r="A341" t="s">
        <v>602</v>
      </c>
      <c r="B341" t="s">
        <v>58</v>
      </c>
      <c r="C341" t="s">
        <v>49</v>
      </c>
      <c r="D341" t="s">
        <v>51</v>
      </c>
      <c r="E341" t="s">
        <v>51</v>
      </c>
      <c r="F341" t="s">
        <v>51</v>
      </c>
      <c r="G341" t="s">
        <v>52</v>
      </c>
      <c r="H341" t="s">
        <v>52</v>
      </c>
      <c r="I341" t="s">
        <v>52</v>
      </c>
      <c r="J341" t="s">
        <v>590</v>
      </c>
      <c r="K341" t="s">
        <v>52</v>
      </c>
      <c r="L341" t="s">
        <v>651</v>
      </c>
      <c r="M341" t="s">
        <v>652</v>
      </c>
      <c r="N341" t="s">
        <v>163</v>
      </c>
      <c r="O341" t="s">
        <v>111</v>
      </c>
      <c r="P341" t="s">
        <v>111</v>
      </c>
      <c r="Q341" t="s">
        <v>51</v>
      </c>
      <c r="R341" t="s">
        <v>51</v>
      </c>
      <c r="S341" t="s">
        <v>51</v>
      </c>
      <c r="T341" t="s">
        <v>51</v>
      </c>
    </row>
    <row r="342" spans="1:20">
      <c r="A342" t="s">
        <v>603</v>
      </c>
      <c r="B342" t="s">
        <v>60</v>
      </c>
      <c r="C342" t="s">
        <v>49</v>
      </c>
      <c r="D342" t="s">
        <v>51</v>
      </c>
      <c r="E342" t="s">
        <v>51</v>
      </c>
      <c r="F342" t="s">
        <v>51</v>
      </c>
      <c r="G342" t="s">
        <v>52</v>
      </c>
      <c r="H342" t="s">
        <v>52</v>
      </c>
      <c r="I342" t="s">
        <v>52</v>
      </c>
      <c r="J342" t="s">
        <v>590</v>
      </c>
      <c r="K342" t="s">
        <v>52</v>
      </c>
      <c r="L342" t="s">
        <v>651</v>
      </c>
      <c r="M342" t="s">
        <v>652</v>
      </c>
      <c r="N342" t="s">
        <v>163</v>
      </c>
      <c r="O342" t="s">
        <v>111</v>
      </c>
      <c r="P342" t="s">
        <v>111</v>
      </c>
      <c r="Q342" t="s">
        <v>51</v>
      </c>
      <c r="R342" t="s">
        <v>51</v>
      </c>
      <c r="S342" t="s">
        <v>51</v>
      </c>
      <c r="T342" t="s">
        <v>51</v>
      </c>
    </row>
    <row r="343" spans="1:20">
      <c r="A343" t="s">
        <v>604</v>
      </c>
      <c r="B343" t="s">
        <v>62</v>
      </c>
      <c r="C343" t="s">
        <v>49</v>
      </c>
      <c r="D343" t="s">
        <v>51</v>
      </c>
      <c r="E343" t="s">
        <v>51</v>
      </c>
      <c r="F343" t="s">
        <v>51</v>
      </c>
      <c r="G343" t="s">
        <v>52</v>
      </c>
      <c r="H343" t="s">
        <v>52</v>
      </c>
      <c r="I343" t="s">
        <v>52</v>
      </c>
      <c r="J343" t="s">
        <v>590</v>
      </c>
      <c r="K343" t="s">
        <v>52</v>
      </c>
      <c r="L343" t="s">
        <v>651</v>
      </c>
      <c r="M343" t="s">
        <v>652</v>
      </c>
      <c r="N343" t="s">
        <v>163</v>
      </c>
      <c r="O343" t="s">
        <v>111</v>
      </c>
      <c r="P343" t="s">
        <v>111</v>
      </c>
      <c r="Q343" t="s">
        <v>51</v>
      </c>
      <c r="R343" t="s">
        <v>51</v>
      </c>
      <c r="S343" t="s">
        <v>51</v>
      </c>
      <c r="T343" t="s">
        <v>51</v>
      </c>
    </row>
    <row r="344" spans="1:20">
      <c r="A344" t="s">
        <v>605</v>
      </c>
      <c r="B344" t="s">
        <v>56</v>
      </c>
      <c r="C344" t="s">
        <v>49</v>
      </c>
      <c r="D344" t="s">
        <v>51</v>
      </c>
      <c r="E344" t="s">
        <v>51</v>
      </c>
      <c r="F344" t="s">
        <v>51</v>
      </c>
      <c r="G344" t="s">
        <v>52</v>
      </c>
      <c r="H344" t="s">
        <v>52</v>
      </c>
      <c r="I344" t="s">
        <v>52</v>
      </c>
      <c r="J344" t="s">
        <v>590</v>
      </c>
      <c r="K344" t="s">
        <v>52</v>
      </c>
      <c r="L344" t="s">
        <v>651</v>
      </c>
      <c r="M344" t="s">
        <v>652</v>
      </c>
      <c r="N344" t="s">
        <v>163</v>
      </c>
      <c r="O344" t="s">
        <v>111</v>
      </c>
      <c r="P344" t="s">
        <v>111</v>
      </c>
      <c r="Q344" t="s">
        <v>51</v>
      </c>
      <c r="R344" t="s">
        <v>51</v>
      </c>
      <c r="S344" t="s">
        <v>51</v>
      </c>
      <c r="T344" t="s">
        <v>51</v>
      </c>
    </row>
    <row r="345" spans="1:20">
      <c r="A345" t="s">
        <v>588</v>
      </c>
      <c r="B345" t="s">
        <v>589</v>
      </c>
      <c r="C345" t="s">
        <v>165</v>
      </c>
      <c r="D345" t="s">
        <v>50</v>
      </c>
      <c r="E345" t="s">
        <v>51</v>
      </c>
      <c r="F345" t="s">
        <v>51</v>
      </c>
      <c r="G345" t="s">
        <v>52</v>
      </c>
      <c r="H345" t="s">
        <v>52</v>
      </c>
      <c r="I345" t="s">
        <v>52</v>
      </c>
      <c r="J345" t="s">
        <v>52</v>
      </c>
      <c r="K345" t="s">
        <v>52</v>
      </c>
      <c r="L345" t="s">
        <v>653</v>
      </c>
      <c r="M345" t="s">
        <v>654</v>
      </c>
      <c r="N345" t="s">
        <v>163</v>
      </c>
      <c r="O345" t="s">
        <v>129</v>
      </c>
      <c r="P345" t="s">
        <v>129</v>
      </c>
      <c r="Q345" t="s">
        <v>51</v>
      </c>
      <c r="R345" t="s">
        <v>51</v>
      </c>
      <c r="S345" t="s">
        <v>51</v>
      </c>
      <c r="T345" t="s">
        <v>51</v>
      </c>
    </row>
    <row r="346" spans="1:20">
      <c r="A346" t="s">
        <v>601</v>
      </c>
      <c r="B346" t="s">
        <v>48</v>
      </c>
      <c r="C346" t="s">
        <v>49</v>
      </c>
      <c r="D346" t="s">
        <v>51</v>
      </c>
      <c r="E346" t="s">
        <v>51</v>
      </c>
      <c r="F346" t="s">
        <v>51</v>
      </c>
      <c r="G346" t="s">
        <v>52</v>
      </c>
      <c r="H346" t="s">
        <v>52</v>
      </c>
      <c r="I346" t="s">
        <v>52</v>
      </c>
      <c r="J346" t="s">
        <v>590</v>
      </c>
      <c r="K346" t="s">
        <v>52</v>
      </c>
      <c r="L346" t="s">
        <v>653</v>
      </c>
      <c r="M346" t="s">
        <v>654</v>
      </c>
      <c r="N346" t="s">
        <v>163</v>
      </c>
      <c r="O346" t="s">
        <v>129</v>
      </c>
      <c r="P346" t="s">
        <v>129</v>
      </c>
      <c r="Q346" t="s">
        <v>51</v>
      </c>
      <c r="R346" t="s">
        <v>51</v>
      </c>
      <c r="S346" t="s">
        <v>51</v>
      </c>
      <c r="T346" t="s">
        <v>51</v>
      </c>
    </row>
    <row r="347" spans="1:20">
      <c r="A347" t="s">
        <v>602</v>
      </c>
      <c r="B347" t="s">
        <v>58</v>
      </c>
      <c r="C347" t="s">
        <v>49</v>
      </c>
      <c r="D347" t="s">
        <v>51</v>
      </c>
      <c r="E347" t="s">
        <v>51</v>
      </c>
      <c r="F347" t="s">
        <v>51</v>
      </c>
      <c r="G347" t="s">
        <v>52</v>
      </c>
      <c r="H347" t="s">
        <v>52</v>
      </c>
      <c r="I347" t="s">
        <v>52</v>
      </c>
      <c r="J347" t="s">
        <v>590</v>
      </c>
      <c r="K347" t="s">
        <v>52</v>
      </c>
      <c r="L347" t="s">
        <v>653</v>
      </c>
      <c r="M347" t="s">
        <v>654</v>
      </c>
      <c r="N347" t="s">
        <v>163</v>
      </c>
      <c r="O347" t="s">
        <v>129</v>
      </c>
      <c r="P347" t="s">
        <v>129</v>
      </c>
      <c r="Q347" t="s">
        <v>51</v>
      </c>
      <c r="R347" t="s">
        <v>51</v>
      </c>
      <c r="S347" t="s">
        <v>51</v>
      </c>
      <c r="T347" t="s">
        <v>51</v>
      </c>
    </row>
    <row r="348" spans="1:20">
      <c r="A348" t="s">
        <v>603</v>
      </c>
      <c r="B348" t="s">
        <v>60</v>
      </c>
      <c r="C348" t="s">
        <v>49</v>
      </c>
      <c r="D348" t="s">
        <v>51</v>
      </c>
      <c r="E348" t="s">
        <v>51</v>
      </c>
      <c r="F348" t="s">
        <v>51</v>
      </c>
      <c r="G348" t="s">
        <v>52</v>
      </c>
      <c r="H348" t="s">
        <v>52</v>
      </c>
      <c r="I348" t="s">
        <v>52</v>
      </c>
      <c r="J348" t="s">
        <v>590</v>
      </c>
      <c r="K348" t="s">
        <v>52</v>
      </c>
      <c r="L348" t="s">
        <v>653</v>
      </c>
      <c r="M348" t="s">
        <v>654</v>
      </c>
      <c r="N348" t="s">
        <v>163</v>
      </c>
      <c r="O348" t="s">
        <v>129</v>
      </c>
      <c r="P348" t="s">
        <v>129</v>
      </c>
      <c r="Q348" t="s">
        <v>51</v>
      </c>
      <c r="R348" t="s">
        <v>51</v>
      </c>
      <c r="S348" t="s">
        <v>51</v>
      </c>
      <c r="T348" t="s">
        <v>51</v>
      </c>
    </row>
    <row r="349" spans="1:20">
      <c r="A349" t="s">
        <v>604</v>
      </c>
      <c r="B349" t="s">
        <v>62</v>
      </c>
      <c r="C349" t="s">
        <v>49</v>
      </c>
      <c r="D349" t="s">
        <v>51</v>
      </c>
      <c r="E349" t="s">
        <v>51</v>
      </c>
      <c r="F349" t="s">
        <v>51</v>
      </c>
      <c r="G349" t="s">
        <v>52</v>
      </c>
      <c r="H349" t="s">
        <v>52</v>
      </c>
      <c r="I349" t="s">
        <v>52</v>
      </c>
      <c r="J349" t="s">
        <v>590</v>
      </c>
      <c r="K349" t="s">
        <v>52</v>
      </c>
      <c r="L349" t="s">
        <v>653</v>
      </c>
      <c r="M349" t="s">
        <v>654</v>
      </c>
      <c r="N349" t="s">
        <v>163</v>
      </c>
      <c r="O349" t="s">
        <v>129</v>
      </c>
      <c r="P349" t="s">
        <v>129</v>
      </c>
      <c r="Q349" t="s">
        <v>51</v>
      </c>
      <c r="R349" t="s">
        <v>51</v>
      </c>
      <c r="S349" t="s">
        <v>51</v>
      </c>
      <c r="T349" t="s">
        <v>51</v>
      </c>
    </row>
    <row r="350" spans="1:20">
      <c r="A350" t="s">
        <v>605</v>
      </c>
      <c r="B350" t="s">
        <v>56</v>
      </c>
      <c r="C350" t="s">
        <v>49</v>
      </c>
      <c r="D350" t="s">
        <v>51</v>
      </c>
      <c r="E350" t="s">
        <v>51</v>
      </c>
      <c r="F350" t="s">
        <v>51</v>
      </c>
      <c r="G350" t="s">
        <v>52</v>
      </c>
      <c r="H350" t="s">
        <v>52</v>
      </c>
      <c r="I350" t="s">
        <v>52</v>
      </c>
      <c r="J350" t="s">
        <v>590</v>
      </c>
      <c r="K350" t="s">
        <v>52</v>
      </c>
      <c r="L350" t="s">
        <v>653</v>
      </c>
      <c r="M350" t="s">
        <v>654</v>
      </c>
      <c r="N350" t="s">
        <v>163</v>
      </c>
      <c r="O350" t="s">
        <v>129</v>
      </c>
      <c r="P350" t="s">
        <v>129</v>
      </c>
      <c r="Q350" t="s">
        <v>51</v>
      </c>
      <c r="R350" t="s">
        <v>51</v>
      </c>
      <c r="S350" t="s">
        <v>51</v>
      </c>
      <c r="T350" t="s">
        <v>51</v>
      </c>
    </row>
    <row r="351" spans="1:20">
      <c r="A351" t="s">
        <v>606</v>
      </c>
      <c r="B351" t="s">
        <v>65</v>
      </c>
      <c r="C351" t="s">
        <v>49</v>
      </c>
      <c r="D351" t="s">
        <v>51</v>
      </c>
      <c r="E351" t="s">
        <v>51</v>
      </c>
      <c r="F351" t="s">
        <v>51</v>
      </c>
      <c r="G351" t="s">
        <v>52</v>
      </c>
      <c r="H351" t="s">
        <v>52</v>
      </c>
      <c r="I351" t="s">
        <v>52</v>
      </c>
      <c r="J351" t="s">
        <v>590</v>
      </c>
      <c r="K351" t="s">
        <v>52</v>
      </c>
      <c r="L351" t="s">
        <v>653</v>
      </c>
      <c r="M351" t="s">
        <v>654</v>
      </c>
      <c r="N351" t="s">
        <v>163</v>
      </c>
      <c r="O351" t="s">
        <v>129</v>
      </c>
      <c r="P351" t="s">
        <v>129</v>
      </c>
      <c r="Q351" t="s">
        <v>51</v>
      </c>
      <c r="R351" t="s">
        <v>51</v>
      </c>
      <c r="S351" t="s">
        <v>51</v>
      </c>
      <c r="T351" t="s">
        <v>51</v>
      </c>
    </row>
    <row r="352" spans="1:20">
      <c r="A352" t="s">
        <v>607</v>
      </c>
      <c r="B352" t="s">
        <v>67</v>
      </c>
      <c r="C352" t="s">
        <v>49</v>
      </c>
      <c r="D352" t="s">
        <v>51</v>
      </c>
      <c r="E352" t="s">
        <v>51</v>
      </c>
      <c r="F352" t="s">
        <v>51</v>
      </c>
      <c r="G352" t="s">
        <v>52</v>
      </c>
      <c r="H352" t="s">
        <v>52</v>
      </c>
      <c r="I352" t="s">
        <v>52</v>
      </c>
      <c r="J352" t="s">
        <v>590</v>
      </c>
      <c r="K352" t="s">
        <v>52</v>
      </c>
      <c r="L352" t="s">
        <v>653</v>
      </c>
      <c r="M352" t="s">
        <v>654</v>
      </c>
      <c r="N352" t="s">
        <v>163</v>
      </c>
      <c r="O352" t="s">
        <v>129</v>
      </c>
      <c r="P352" t="s">
        <v>129</v>
      </c>
      <c r="Q352" t="s">
        <v>51</v>
      </c>
      <c r="R352" t="s">
        <v>51</v>
      </c>
      <c r="S352" t="s">
        <v>51</v>
      </c>
      <c r="T352" t="s">
        <v>51</v>
      </c>
    </row>
    <row r="353" spans="1:20">
      <c r="A353" t="s">
        <v>608</v>
      </c>
      <c r="B353" t="s">
        <v>69</v>
      </c>
      <c r="C353" t="s">
        <v>49</v>
      </c>
      <c r="D353" t="s">
        <v>51</v>
      </c>
      <c r="E353" t="s">
        <v>51</v>
      </c>
      <c r="F353" t="s">
        <v>51</v>
      </c>
      <c r="G353" t="s">
        <v>52</v>
      </c>
      <c r="H353" t="s">
        <v>52</v>
      </c>
      <c r="I353" t="s">
        <v>52</v>
      </c>
      <c r="J353" t="s">
        <v>590</v>
      </c>
      <c r="K353" t="s">
        <v>52</v>
      </c>
      <c r="L353" t="s">
        <v>653</v>
      </c>
      <c r="M353" t="s">
        <v>654</v>
      </c>
      <c r="N353" t="s">
        <v>163</v>
      </c>
      <c r="O353" t="s">
        <v>129</v>
      </c>
      <c r="P353" t="s">
        <v>129</v>
      </c>
      <c r="Q353" t="s">
        <v>51</v>
      </c>
      <c r="R353" t="s">
        <v>51</v>
      </c>
      <c r="S353" t="s">
        <v>51</v>
      </c>
      <c r="T353" t="s">
        <v>51</v>
      </c>
    </row>
    <row r="354" spans="1:20">
      <c r="A354" t="s">
        <v>609</v>
      </c>
      <c r="B354" t="s">
        <v>71</v>
      </c>
      <c r="C354" t="s">
        <v>49</v>
      </c>
      <c r="D354" t="s">
        <v>51</v>
      </c>
      <c r="E354" t="s">
        <v>51</v>
      </c>
      <c r="F354" t="s">
        <v>51</v>
      </c>
      <c r="G354" t="s">
        <v>52</v>
      </c>
      <c r="H354" t="s">
        <v>52</v>
      </c>
      <c r="I354" t="s">
        <v>52</v>
      </c>
      <c r="J354" t="s">
        <v>590</v>
      </c>
      <c r="K354" t="s">
        <v>52</v>
      </c>
      <c r="L354" t="s">
        <v>653</v>
      </c>
      <c r="M354" t="s">
        <v>654</v>
      </c>
      <c r="N354" t="s">
        <v>163</v>
      </c>
      <c r="O354" t="s">
        <v>129</v>
      </c>
      <c r="P354" t="s">
        <v>129</v>
      </c>
      <c r="Q354" t="s">
        <v>51</v>
      </c>
      <c r="R354" t="s">
        <v>51</v>
      </c>
      <c r="S354" t="s">
        <v>51</v>
      </c>
      <c r="T354" t="s">
        <v>51</v>
      </c>
    </row>
    <row r="355" spans="1:20">
      <c r="A355" t="s">
        <v>610</v>
      </c>
      <c r="B355" t="s">
        <v>73</v>
      </c>
      <c r="C355" t="s">
        <v>49</v>
      </c>
      <c r="D355" t="s">
        <v>51</v>
      </c>
      <c r="E355" t="s">
        <v>51</v>
      </c>
      <c r="F355" t="s">
        <v>51</v>
      </c>
      <c r="G355" t="s">
        <v>52</v>
      </c>
      <c r="H355" t="s">
        <v>52</v>
      </c>
      <c r="I355" t="s">
        <v>52</v>
      </c>
      <c r="J355" t="s">
        <v>590</v>
      </c>
      <c r="K355" t="s">
        <v>52</v>
      </c>
      <c r="L355" t="s">
        <v>653</v>
      </c>
      <c r="M355" t="s">
        <v>654</v>
      </c>
      <c r="N355" t="s">
        <v>163</v>
      </c>
      <c r="O355" t="s">
        <v>129</v>
      </c>
      <c r="P355" t="s">
        <v>129</v>
      </c>
      <c r="Q355" t="s">
        <v>51</v>
      </c>
      <c r="R355" t="s">
        <v>51</v>
      </c>
      <c r="S355" t="s">
        <v>51</v>
      </c>
      <c r="T355" t="s">
        <v>51</v>
      </c>
    </row>
    <row r="356" spans="1:20">
      <c r="A356" t="s">
        <v>611</v>
      </c>
      <c r="B356" t="s">
        <v>75</v>
      </c>
      <c r="C356" t="s">
        <v>49</v>
      </c>
      <c r="D356" t="s">
        <v>51</v>
      </c>
      <c r="E356" t="s">
        <v>51</v>
      </c>
      <c r="F356" t="s">
        <v>51</v>
      </c>
      <c r="G356" t="s">
        <v>52</v>
      </c>
      <c r="H356" t="s">
        <v>52</v>
      </c>
      <c r="I356" t="s">
        <v>52</v>
      </c>
      <c r="J356" t="s">
        <v>590</v>
      </c>
      <c r="K356" t="s">
        <v>52</v>
      </c>
      <c r="L356" t="s">
        <v>653</v>
      </c>
      <c r="M356" t="s">
        <v>654</v>
      </c>
      <c r="N356" t="s">
        <v>163</v>
      </c>
      <c r="O356" t="s">
        <v>129</v>
      </c>
      <c r="P356" t="s">
        <v>129</v>
      </c>
      <c r="Q356" t="s">
        <v>51</v>
      </c>
      <c r="R356" t="s">
        <v>51</v>
      </c>
      <c r="S356" t="s">
        <v>51</v>
      </c>
      <c r="T356" t="s">
        <v>51</v>
      </c>
    </row>
    <row r="357" spans="1:20">
      <c r="A357" t="s">
        <v>612</v>
      </c>
      <c r="B357" t="s">
        <v>77</v>
      </c>
      <c r="C357" t="s">
        <v>49</v>
      </c>
      <c r="D357" t="s">
        <v>51</v>
      </c>
      <c r="E357" t="s">
        <v>51</v>
      </c>
      <c r="F357" t="s">
        <v>51</v>
      </c>
      <c r="G357" t="s">
        <v>52</v>
      </c>
      <c r="H357" t="s">
        <v>52</v>
      </c>
      <c r="I357" t="s">
        <v>52</v>
      </c>
      <c r="J357" t="s">
        <v>590</v>
      </c>
      <c r="K357" t="s">
        <v>52</v>
      </c>
      <c r="L357" t="s">
        <v>653</v>
      </c>
      <c r="M357" t="s">
        <v>654</v>
      </c>
      <c r="N357" t="s">
        <v>163</v>
      </c>
      <c r="O357" t="s">
        <v>129</v>
      </c>
      <c r="P357" t="s">
        <v>129</v>
      </c>
      <c r="Q357" t="s">
        <v>51</v>
      </c>
      <c r="R357" t="s">
        <v>51</v>
      </c>
      <c r="S357" t="s">
        <v>51</v>
      </c>
      <c r="T357" t="s">
        <v>51</v>
      </c>
    </row>
    <row r="358" spans="1:20">
      <c r="A358" t="s">
        <v>613</v>
      </c>
      <c r="B358" t="s">
        <v>79</v>
      </c>
      <c r="C358" t="s">
        <v>49</v>
      </c>
      <c r="D358" t="s">
        <v>51</v>
      </c>
      <c r="E358" t="s">
        <v>51</v>
      </c>
      <c r="F358" t="s">
        <v>51</v>
      </c>
      <c r="G358" t="s">
        <v>52</v>
      </c>
      <c r="H358" t="s">
        <v>52</v>
      </c>
      <c r="I358" t="s">
        <v>52</v>
      </c>
      <c r="J358" t="s">
        <v>590</v>
      </c>
      <c r="K358" t="s">
        <v>52</v>
      </c>
      <c r="L358" t="s">
        <v>653</v>
      </c>
      <c r="M358" t="s">
        <v>654</v>
      </c>
      <c r="N358" t="s">
        <v>163</v>
      </c>
      <c r="O358" t="s">
        <v>129</v>
      </c>
      <c r="P358" t="s">
        <v>129</v>
      </c>
      <c r="Q358" t="s">
        <v>51</v>
      </c>
      <c r="R358" t="s">
        <v>51</v>
      </c>
      <c r="S358" t="s">
        <v>51</v>
      </c>
      <c r="T358" t="s">
        <v>51</v>
      </c>
    </row>
    <row r="359" spans="1:20">
      <c r="A359" t="s">
        <v>614</v>
      </c>
      <c r="B359" t="s">
        <v>81</v>
      </c>
      <c r="C359" t="s">
        <v>49</v>
      </c>
      <c r="D359" t="s">
        <v>51</v>
      </c>
      <c r="E359" t="s">
        <v>51</v>
      </c>
      <c r="F359" t="s">
        <v>51</v>
      </c>
      <c r="G359" t="s">
        <v>52</v>
      </c>
      <c r="H359" t="s">
        <v>52</v>
      </c>
      <c r="I359" t="s">
        <v>52</v>
      </c>
      <c r="J359" t="s">
        <v>590</v>
      </c>
      <c r="K359" t="s">
        <v>52</v>
      </c>
      <c r="L359" t="s">
        <v>653</v>
      </c>
      <c r="M359" t="s">
        <v>654</v>
      </c>
      <c r="N359" t="s">
        <v>163</v>
      </c>
      <c r="O359" t="s">
        <v>129</v>
      </c>
      <c r="P359" t="s">
        <v>129</v>
      </c>
      <c r="Q359" t="s">
        <v>51</v>
      </c>
      <c r="R359" t="s">
        <v>51</v>
      </c>
      <c r="S359" t="s">
        <v>51</v>
      </c>
      <c r="T359" t="s">
        <v>51</v>
      </c>
    </row>
    <row r="360" spans="1:20">
      <c r="A360" t="s">
        <v>615</v>
      </c>
      <c r="B360" t="s">
        <v>83</v>
      </c>
      <c r="C360" t="s">
        <v>49</v>
      </c>
      <c r="D360" t="s">
        <v>51</v>
      </c>
      <c r="E360" t="s">
        <v>51</v>
      </c>
      <c r="F360" t="s">
        <v>51</v>
      </c>
      <c r="G360" t="s">
        <v>52</v>
      </c>
      <c r="H360" t="s">
        <v>52</v>
      </c>
      <c r="I360" t="s">
        <v>52</v>
      </c>
      <c r="J360" t="s">
        <v>590</v>
      </c>
      <c r="K360" t="s">
        <v>52</v>
      </c>
      <c r="L360" t="s">
        <v>653</v>
      </c>
      <c r="M360" t="s">
        <v>654</v>
      </c>
      <c r="N360" t="s">
        <v>163</v>
      </c>
      <c r="O360" t="s">
        <v>129</v>
      </c>
      <c r="P360" t="s">
        <v>129</v>
      </c>
      <c r="Q360" t="s">
        <v>51</v>
      </c>
      <c r="R360" t="s">
        <v>51</v>
      </c>
      <c r="S360" t="s">
        <v>51</v>
      </c>
      <c r="T360" t="s">
        <v>51</v>
      </c>
    </row>
    <row r="361" spans="1:20">
      <c r="A361" t="s">
        <v>616</v>
      </c>
      <c r="B361" t="s">
        <v>85</v>
      </c>
      <c r="C361" t="s">
        <v>49</v>
      </c>
      <c r="D361" t="s">
        <v>51</v>
      </c>
      <c r="E361" t="s">
        <v>51</v>
      </c>
      <c r="F361" t="s">
        <v>51</v>
      </c>
      <c r="G361" t="s">
        <v>52</v>
      </c>
      <c r="H361" t="s">
        <v>52</v>
      </c>
      <c r="I361" t="s">
        <v>52</v>
      </c>
      <c r="J361" t="s">
        <v>590</v>
      </c>
      <c r="K361" t="s">
        <v>52</v>
      </c>
      <c r="L361" t="s">
        <v>653</v>
      </c>
      <c r="M361" t="s">
        <v>654</v>
      </c>
      <c r="N361" t="s">
        <v>163</v>
      </c>
      <c r="O361" t="s">
        <v>129</v>
      </c>
      <c r="P361" t="s">
        <v>129</v>
      </c>
      <c r="Q361" t="s">
        <v>51</v>
      </c>
      <c r="R361" t="s">
        <v>51</v>
      </c>
      <c r="S361" t="s">
        <v>51</v>
      </c>
      <c r="T361" t="s">
        <v>51</v>
      </c>
    </row>
    <row r="362" spans="1:20">
      <c r="A362" t="s">
        <v>617</v>
      </c>
      <c r="B362" t="s">
        <v>87</v>
      </c>
      <c r="C362" t="s">
        <v>49</v>
      </c>
      <c r="D362" t="s">
        <v>51</v>
      </c>
      <c r="E362" t="s">
        <v>51</v>
      </c>
      <c r="F362" t="s">
        <v>51</v>
      </c>
      <c r="G362" t="s">
        <v>52</v>
      </c>
      <c r="H362" t="s">
        <v>52</v>
      </c>
      <c r="I362" t="s">
        <v>52</v>
      </c>
      <c r="J362" t="s">
        <v>590</v>
      </c>
      <c r="K362" t="s">
        <v>52</v>
      </c>
      <c r="L362" t="s">
        <v>653</v>
      </c>
      <c r="M362" t="s">
        <v>654</v>
      </c>
      <c r="N362" t="s">
        <v>163</v>
      </c>
      <c r="O362" t="s">
        <v>129</v>
      </c>
      <c r="P362" t="s">
        <v>129</v>
      </c>
      <c r="Q362" t="s">
        <v>51</v>
      </c>
      <c r="R362" t="s">
        <v>51</v>
      </c>
      <c r="S362" t="s">
        <v>51</v>
      </c>
      <c r="T362" t="s">
        <v>51</v>
      </c>
    </row>
    <row r="363" spans="1:20">
      <c r="A363" t="s">
        <v>618</v>
      </c>
      <c r="B363" t="s">
        <v>89</v>
      </c>
      <c r="C363" t="s">
        <v>49</v>
      </c>
      <c r="D363" t="s">
        <v>51</v>
      </c>
      <c r="E363" t="s">
        <v>51</v>
      </c>
      <c r="F363" t="s">
        <v>51</v>
      </c>
      <c r="G363" t="s">
        <v>52</v>
      </c>
      <c r="H363" t="s">
        <v>52</v>
      </c>
      <c r="I363" t="s">
        <v>52</v>
      </c>
      <c r="J363" t="s">
        <v>590</v>
      </c>
      <c r="K363" t="s">
        <v>52</v>
      </c>
      <c r="L363" t="s">
        <v>653</v>
      </c>
      <c r="M363" t="s">
        <v>654</v>
      </c>
      <c r="N363" t="s">
        <v>163</v>
      </c>
      <c r="O363" t="s">
        <v>129</v>
      </c>
      <c r="P363" t="s">
        <v>129</v>
      </c>
      <c r="Q363" t="s">
        <v>51</v>
      </c>
      <c r="R363" t="s">
        <v>51</v>
      </c>
      <c r="S363" t="s">
        <v>51</v>
      </c>
      <c r="T363" t="s">
        <v>51</v>
      </c>
    </row>
    <row r="364" spans="1:20">
      <c r="A364" t="s">
        <v>619</v>
      </c>
      <c r="B364" t="s">
        <v>91</v>
      </c>
      <c r="C364" t="s">
        <v>49</v>
      </c>
      <c r="D364" t="s">
        <v>51</v>
      </c>
      <c r="E364" t="s">
        <v>51</v>
      </c>
      <c r="F364" t="s">
        <v>51</v>
      </c>
      <c r="G364" t="s">
        <v>52</v>
      </c>
      <c r="H364" t="s">
        <v>52</v>
      </c>
      <c r="I364" t="s">
        <v>52</v>
      </c>
      <c r="J364" t="s">
        <v>590</v>
      </c>
      <c r="K364" t="s">
        <v>52</v>
      </c>
      <c r="L364" t="s">
        <v>653</v>
      </c>
      <c r="M364" t="s">
        <v>654</v>
      </c>
      <c r="N364" t="s">
        <v>163</v>
      </c>
      <c r="O364" t="s">
        <v>129</v>
      </c>
      <c r="P364" t="s">
        <v>129</v>
      </c>
      <c r="Q364" t="s">
        <v>51</v>
      </c>
      <c r="R364" t="s">
        <v>51</v>
      </c>
      <c r="S364" t="s">
        <v>51</v>
      </c>
      <c r="T364" t="s">
        <v>51</v>
      </c>
    </row>
    <row r="365" spans="1:20">
      <c r="A365" t="s">
        <v>620</v>
      </c>
      <c r="B365" t="s">
        <v>93</v>
      </c>
      <c r="C365" t="s">
        <v>49</v>
      </c>
      <c r="D365" t="s">
        <v>51</v>
      </c>
      <c r="E365" t="s">
        <v>51</v>
      </c>
      <c r="F365" t="s">
        <v>51</v>
      </c>
      <c r="G365" t="s">
        <v>52</v>
      </c>
      <c r="H365" t="s">
        <v>52</v>
      </c>
      <c r="I365" t="s">
        <v>52</v>
      </c>
      <c r="J365" t="s">
        <v>590</v>
      </c>
      <c r="K365" t="s">
        <v>52</v>
      </c>
      <c r="L365" t="s">
        <v>653</v>
      </c>
      <c r="M365" t="s">
        <v>654</v>
      </c>
      <c r="N365" t="s">
        <v>163</v>
      </c>
      <c r="O365" t="s">
        <v>129</v>
      </c>
      <c r="P365" t="s">
        <v>129</v>
      </c>
      <c r="Q365" t="s">
        <v>51</v>
      </c>
      <c r="R365" t="s">
        <v>51</v>
      </c>
      <c r="S365" t="s">
        <v>51</v>
      </c>
      <c r="T365" t="s">
        <v>51</v>
      </c>
    </row>
    <row r="366" spans="1:20">
      <c r="A366" t="s">
        <v>621</v>
      </c>
      <c r="B366" t="s">
        <v>95</v>
      </c>
      <c r="C366" t="s">
        <v>49</v>
      </c>
      <c r="D366" t="s">
        <v>51</v>
      </c>
      <c r="E366" t="s">
        <v>51</v>
      </c>
      <c r="F366" t="s">
        <v>51</v>
      </c>
      <c r="G366" t="s">
        <v>52</v>
      </c>
      <c r="H366" t="s">
        <v>52</v>
      </c>
      <c r="I366" t="s">
        <v>52</v>
      </c>
      <c r="J366" t="s">
        <v>590</v>
      </c>
      <c r="K366" t="s">
        <v>52</v>
      </c>
      <c r="L366" t="s">
        <v>653</v>
      </c>
      <c r="M366" t="s">
        <v>654</v>
      </c>
      <c r="N366" t="s">
        <v>163</v>
      </c>
      <c r="O366" t="s">
        <v>129</v>
      </c>
      <c r="P366" t="s">
        <v>129</v>
      </c>
      <c r="Q366" t="s">
        <v>51</v>
      </c>
      <c r="R366" t="s">
        <v>51</v>
      </c>
      <c r="S366" t="s">
        <v>51</v>
      </c>
      <c r="T366" t="s">
        <v>51</v>
      </c>
    </row>
    <row r="367" spans="1:20">
      <c r="A367" t="s">
        <v>622</v>
      </c>
      <c r="B367" t="s">
        <v>97</v>
      </c>
      <c r="C367" t="s">
        <v>49</v>
      </c>
      <c r="D367" t="s">
        <v>51</v>
      </c>
      <c r="E367" t="s">
        <v>51</v>
      </c>
      <c r="F367" t="s">
        <v>51</v>
      </c>
      <c r="G367" t="s">
        <v>52</v>
      </c>
      <c r="H367" t="s">
        <v>52</v>
      </c>
      <c r="I367" t="s">
        <v>52</v>
      </c>
      <c r="J367" t="s">
        <v>590</v>
      </c>
      <c r="K367" t="s">
        <v>52</v>
      </c>
      <c r="L367" t="s">
        <v>653</v>
      </c>
      <c r="M367" t="s">
        <v>654</v>
      </c>
      <c r="N367" t="s">
        <v>163</v>
      </c>
      <c r="O367" t="s">
        <v>129</v>
      </c>
      <c r="P367" t="s">
        <v>129</v>
      </c>
      <c r="Q367" t="s">
        <v>51</v>
      </c>
      <c r="R367" t="s">
        <v>51</v>
      </c>
      <c r="S367" t="s">
        <v>51</v>
      </c>
      <c r="T367" t="s">
        <v>51</v>
      </c>
    </row>
    <row r="368" spans="1:20">
      <c r="A368" t="s">
        <v>623</v>
      </c>
      <c r="B368" t="s">
        <v>99</v>
      </c>
      <c r="C368" t="s">
        <v>49</v>
      </c>
      <c r="D368" t="s">
        <v>51</v>
      </c>
      <c r="E368" t="s">
        <v>51</v>
      </c>
      <c r="F368" t="s">
        <v>51</v>
      </c>
      <c r="G368" t="s">
        <v>52</v>
      </c>
      <c r="H368" t="s">
        <v>52</v>
      </c>
      <c r="I368" t="s">
        <v>52</v>
      </c>
      <c r="J368" t="s">
        <v>590</v>
      </c>
      <c r="K368" t="s">
        <v>52</v>
      </c>
      <c r="L368" t="s">
        <v>653</v>
      </c>
      <c r="M368" t="s">
        <v>654</v>
      </c>
      <c r="N368" t="s">
        <v>163</v>
      </c>
      <c r="O368" t="s">
        <v>129</v>
      </c>
      <c r="P368" t="s">
        <v>129</v>
      </c>
      <c r="Q368" t="s">
        <v>51</v>
      </c>
      <c r="R368" t="s">
        <v>51</v>
      </c>
      <c r="S368" t="s">
        <v>51</v>
      </c>
      <c r="T368" t="s">
        <v>51</v>
      </c>
    </row>
    <row r="369" spans="1:20">
      <c r="A369" t="s">
        <v>624</v>
      </c>
      <c r="B369" t="s">
        <v>101</v>
      </c>
      <c r="C369" t="s">
        <v>49</v>
      </c>
      <c r="D369" t="s">
        <v>51</v>
      </c>
      <c r="E369" t="s">
        <v>51</v>
      </c>
      <c r="F369" t="s">
        <v>51</v>
      </c>
      <c r="G369" t="s">
        <v>52</v>
      </c>
      <c r="H369" t="s">
        <v>52</v>
      </c>
      <c r="I369" t="s">
        <v>52</v>
      </c>
      <c r="J369" t="s">
        <v>590</v>
      </c>
      <c r="K369" t="s">
        <v>52</v>
      </c>
      <c r="L369" t="s">
        <v>653</v>
      </c>
      <c r="M369" t="s">
        <v>654</v>
      </c>
      <c r="N369" t="s">
        <v>163</v>
      </c>
      <c r="O369" t="s">
        <v>129</v>
      </c>
      <c r="P369" t="s">
        <v>129</v>
      </c>
      <c r="Q369" t="s">
        <v>51</v>
      </c>
      <c r="R369" t="s">
        <v>51</v>
      </c>
      <c r="S369" t="s">
        <v>51</v>
      </c>
      <c r="T369" t="s">
        <v>51</v>
      </c>
    </row>
    <row r="370" spans="1:20">
      <c r="A370" t="s">
        <v>625</v>
      </c>
      <c r="B370" t="s">
        <v>103</v>
      </c>
      <c r="C370" t="s">
        <v>49</v>
      </c>
      <c r="D370" t="s">
        <v>51</v>
      </c>
      <c r="E370" t="s">
        <v>51</v>
      </c>
      <c r="F370" t="s">
        <v>51</v>
      </c>
      <c r="G370" t="s">
        <v>52</v>
      </c>
      <c r="H370" t="s">
        <v>52</v>
      </c>
      <c r="I370" t="s">
        <v>52</v>
      </c>
      <c r="J370" t="s">
        <v>590</v>
      </c>
      <c r="K370" t="s">
        <v>52</v>
      </c>
      <c r="L370" t="s">
        <v>653</v>
      </c>
      <c r="M370" t="s">
        <v>654</v>
      </c>
      <c r="N370" t="s">
        <v>163</v>
      </c>
      <c r="O370" t="s">
        <v>129</v>
      </c>
      <c r="P370" t="s">
        <v>129</v>
      </c>
      <c r="Q370" t="s">
        <v>51</v>
      </c>
      <c r="R370" t="s">
        <v>51</v>
      </c>
      <c r="S370" t="s">
        <v>51</v>
      </c>
      <c r="T370" t="s">
        <v>51</v>
      </c>
    </row>
    <row r="371" spans="1:20">
      <c r="A371" t="s">
        <v>626</v>
      </c>
      <c r="B371" t="s">
        <v>105</v>
      </c>
      <c r="C371" t="s">
        <v>49</v>
      </c>
      <c r="D371" t="s">
        <v>51</v>
      </c>
      <c r="E371" t="s">
        <v>51</v>
      </c>
      <c r="F371" t="s">
        <v>51</v>
      </c>
      <c r="G371" t="s">
        <v>52</v>
      </c>
      <c r="H371" t="s">
        <v>52</v>
      </c>
      <c r="I371" t="s">
        <v>52</v>
      </c>
      <c r="J371" t="s">
        <v>590</v>
      </c>
      <c r="K371" t="s">
        <v>52</v>
      </c>
      <c r="L371" t="s">
        <v>653</v>
      </c>
      <c r="M371" t="s">
        <v>654</v>
      </c>
      <c r="N371" t="s">
        <v>163</v>
      </c>
      <c r="O371" t="s">
        <v>129</v>
      </c>
      <c r="P371" t="s">
        <v>129</v>
      </c>
      <c r="Q371" t="s">
        <v>51</v>
      </c>
      <c r="R371" t="s">
        <v>51</v>
      </c>
      <c r="S371" t="s">
        <v>51</v>
      </c>
      <c r="T371" t="s">
        <v>51</v>
      </c>
    </row>
    <row r="372" spans="1:20">
      <c r="A372" t="s">
        <v>627</v>
      </c>
      <c r="B372" t="s">
        <v>107</v>
      </c>
      <c r="C372" t="s">
        <v>49</v>
      </c>
      <c r="D372" t="s">
        <v>51</v>
      </c>
      <c r="E372" t="s">
        <v>51</v>
      </c>
      <c r="F372" t="s">
        <v>51</v>
      </c>
      <c r="G372" t="s">
        <v>52</v>
      </c>
      <c r="H372" t="s">
        <v>52</v>
      </c>
      <c r="I372" t="s">
        <v>52</v>
      </c>
      <c r="J372" t="s">
        <v>590</v>
      </c>
      <c r="K372" t="s">
        <v>52</v>
      </c>
      <c r="L372" t="s">
        <v>653</v>
      </c>
      <c r="M372" t="s">
        <v>654</v>
      </c>
      <c r="N372" t="s">
        <v>163</v>
      </c>
      <c r="O372" t="s">
        <v>129</v>
      </c>
      <c r="P372" t="s">
        <v>129</v>
      </c>
      <c r="Q372" t="s">
        <v>51</v>
      </c>
      <c r="R372" t="s">
        <v>51</v>
      </c>
      <c r="S372" t="s">
        <v>51</v>
      </c>
      <c r="T372" t="s">
        <v>51</v>
      </c>
    </row>
    <row r="373" spans="1:20">
      <c r="A373" t="s">
        <v>628</v>
      </c>
      <c r="B373" t="s">
        <v>109</v>
      </c>
      <c r="C373" t="s">
        <v>49</v>
      </c>
      <c r="D373" t="s">
        <v>51</v>
      </c>
      <c r="E373" t="s">
        <v>51</v>
      </c>
      <c r="F373" t="s">
        <v>51</v>
      </c>
      <c r="G373" t="s">
        <v>52</v>
      </c>
      <c r="H373" t="s">
        <v>52</v>
      </c>
      <c r="I373" t="s">
        <v>52</v>
      </c>
      <c r="J373" t="s">
        <v>590</v>
      </c>
      <c r="K373" t="s">
        <v>52</v>
      </c>
      <c r="L373" t="s">
        <v>653</v>
      </c>
      <c r="M373" t="s">
        <v>654</v>
      </c>
      <c r="N373" t="s">
        <v>163</v>
      </c>
      <c r="O373" t="s">
        <v>129</v>
      </c>
      <c r="P373" t="s">
        <v>129</v>
      </c>
      <c r="Q373" t="s">
        <v>51</v>
      </c>
      <c r="R373" t="s">
        <v>51</v>
      </c>
      <c r="S373" t="s">
        <v>51</v>
      </c>
      <c r="T373" t="s">
        <v>51</v>
      </c>
    </row>
    <row r="374" spans="1:20">
      <c r="A374" t="s">
        <v>629</v>
      </c>
      <c r="B374" t="s">
        <v>111</v>
      </c>
      <c r="C374" t="s">
        <v>49</v>
      </c>
      <c r="D374" t="s">
        <v>51</v>
      </c>
      <c r="E374" t="s">
        <v>51</v>
      </c>
      <c r="F374" t="s">
        <v>51</v>
      </c>
      <c r="G374" t="s">
        <v>52</v>
      </c>
      <c r="H374" t="s">
        <v>52</v>
      </c>
      <c r="I374" t="s">
        <v>52</v>
      </c>
      <c r="J374" t="s">
        <v>590</v>
      </c>
      <c r="K374" t="s">
        <v>52</v>
      </c>
      <c r="L374" t="s">
        <v>653</v>
      </c>
      <c r="M374" t="s">
        <v>654</v>
      </c>
      <c r="N374" t="s">
        <v>163</v>
      </c>
      <c r="O374" t="s">
        <v>129</v>
      </c>
      <c r="P374" t="s">
        <v>129</v>
      </c>
      <c r="Q374" t="s">
        <v>51</v>
      </c>
      <c r="R374" t="s">
        <v>51</v>
      </c>
      <c r="S374" t="s">
        <v>51</v>
      </c>
      <c r="T374" t="s">
        <v>51</v>
      </c>
    </row>
    <row r="375" spans="1:20">
      <c r="A375" t="s">
        <v>630</v>
      </c>
      <c r="B375" t="s">
        <v>113</v>
      </c>
      <c r="C375" t="s">
        <v>49</v>
      </c>
      <c r="D375" t="s">
        <v>51</v>
      </c>
      <c r="E375" t="s">
        <v>51</v>
      </c>
      <c r="F375" t="s">
        <v>51</v>
      </c>
      <c r="G375" t="s">
        <v>52</v>
      </c>
      <c r="H375" t="s">
        <v>52</v>
      </c>
      <c r="I375" t="s">
        <v>52</v>
      </c>
      <c r="J375" t="s">
        <v>590</v>
      </c>
      <c r="K375" t="s">
        <v>52</v>
      </c>
      <c r="L375" t="s">
        <v>653</v>
      </c>
      <c r="M375" t="s">
        <v>654</v>
      </c>
      <c r="N375" t="s">
        <v>163</v>
      </c>
      <c r="O375" t="s">
        <v>129</v>
      </c>
      <c r="P375" t="s">
        <v>129</v>
      </c>
      <c r="Q375" t="s">
        <v>51</v>
      </c>
      <c r="R375" t="s">
        <v>51</v>
      </c>
      <c r="S375" t="s">
        <v>51</v>
      </c>
      <c r="T375" t="s">
        <v>51</v>
      </c>
    </row>
    <row r="376" spans="1:20">
      <c r="A376" t="s">
        <v>631</v>
      </c>
      <c r="B376" t="s">
        <v>115</v>
      </c>
      <c r="C376" t="s">
        <v>49</v>
      </c>
      <c r="D376" t="s">
        <v>51</v>
      </c>
      <c r="E376" t="s">
        <v>51</v>
      </c>
      <c r="F376" t="s">
        <v>51</v>
      </c>
      <c r="G376" t="s">
        <v>52</v>
      </c>
      <c r="H376" t="s">
        <v>52</v>
      </c>
      <c r="I376" t="s">
        <v>52</v>
      </c>
      <c r="J376" t="s">
        <v>590</v>
      </c>
      <c r="K376" t="s">
        <v>52</v>
      </c>
      <c r="L376" t="s">
        <v>653</v>
      </c>
      <c r="M376" t="s">
        <v>654</v>
      </c>
      <c r="N376" t="s">
        <v>163</v>
      </c>
      <c r="O376" t="s">
        <v>129</v>
      </c>
      <c r="P376" t="s">
        <v>129</v>
      </c>
      <c r="Q376" t="s">
        <v>51</v>
      </c>
      <c r="R376" t="s">
        <v>51</v>
      </c>
      <c r="S376" t="s">
        <v>51</v>
      </c>
      <c r="T376" t="s">
        <v>51</v>
      </c>
    </row>
    <row r="377" spans="1:20">
      <c r="A377" t="s">
        <v>632</v>
      </c>
      <c r="B377" t="s">
        <v>117</v>
      </c>
      <c r="C377" t="s">
        <v>49</v>
      </c>
      <c r="D377" t="s">
        <v>51</v>
      </c>
      <c r="E377" t="s">
        <v>51</v>
      </c>
      <c r="F377" t="s">
        <v>51</v>
      </c>
      <c r="G377" t="s">
        <v>52</v>
      </c>
      <c r="H377" t="s">
        <v>52</v>
      </c>
      <c r="I377" t="s">
        <v>52</v>
      </c>
      <c r="J377" t="s">
        <v>590</v>
      </c>
      <c r="K377" t="s">
        <v>52</v>
      </c>
      <c r="L377" t="s">
        <v>653</v>
      </c>
      <c r="M377" t="s">
        <v>654</v>
      </c>
      <c r="N377" t="s">
        <v>163</v>
      </c>
      <c r="O377" t="s">
        <v>129</v>
      </c>
      <c r="P377" t="s">
        <v>129</v>
      </c>
      <c r="Q377" t="s">
        <v>51</v>
      </c>
      <c r="R377" t="s">
        <v>51</v>
      </c>
      <c r="S377" t="s">
        <v>51</v>
      </c>
      <c r="T377" t="s">
        <v>51</v>
      </c>
    </row>
    <row r="378" spans="1:20">
      <c r="A378" t="s">
        <v>633</v>
      </c>
      <c r="B378" t="s">
        <v>119</v>
      </c>
      <c r="C378" t="s">
        <v>49</v>
      </c>
      <c r="D378" t="s">
        <v>51</v>
      </c>
      <c r="E378" t="s">
        <v>51</v>
      </c>
      <c r="F378" t="s">
        <v>51</v>
      </c>
      <c r="G378" t="s">
        <v>52</v>
      </c>
      <c r="H378" t="s">
        <v>52</v>
      </c>
      <c r="I378" t="s">
        <v>52</v>
      </c>
      <c r="J378" t="s">
        <v>590</v>
      </c>
      <c r="K378" t="s">
        <v>52</v>
      </c>
      <c r="L378" t="s">
        <v>653</v>
      </c>
      <c r="M378" t="s">
        <v>654</v>
      </c>
      <c r="N378" t="s">
        <v>163</v>
      </c>
      <c r="O378" t="s">
        <v>129</v>
      </c>
      <c r="P378" t="s">
        <v>129</v>
      </c>
      <c r="Q378" t="s">
        <v>51</v>
      </c>
      <c r="R378" t="s">
        <v>51</v>
      </c>
      <c r="S378" t="s">
        <v>51</v>
      </c>
      <c r="T378" t="s">
        <v>51</v>
      </c>
    </row>
    <row r="379" spans="1:20">
      <c r="A379" t="s">
        <v>634</v>
      </c>
      <c r="B379" t="s">
        <v>121</v>
      </c>
      <c r="C379" t="s">
        <v>49</v>
      </c>
      <c r="D379" t="s">
        <v>51</v>
      </c>
      <c r="E379" t="s">
        <v>51</v>
      </c>
      <c r="F379" t="s">
        <v>51</v>
      </c>
      <c r="G379" t="s">
        <v>52</v>
      </c>
      <c r="H379" t="s">
        <v>52</v>
      </c>
      <c r="I379" t="s">
        <v>52</v>
      </c>
      <c r="J379" t="s">
        <v>590</v>
      </c>
      <c r="K379" t="s">
        <v>52</v>
      </c>
      <c r="L379" t="s">
        <v>653</v>
      </c>
      <c r="M379" t="s">
        <v>654</v>
      </c>
      <c r="N379" t="s">
        <v>163</v>
      </c>
      <c r="O379" t="s">
        <v>129</v>
      </c>
      <c r="P379" t="s">
        <v>129</v>
      </c>
      <c r="Q379" t="s">
        <v>51</v>
      </c>
      <c r="R379" t="s">
        <v>51</v>
      </c>
      <c r="S379" t="s">
        <v>51</v>
      </c>
      <c r="T379" t="s">
        <v>51</v>
      </c>
    </row>
    <row r="380" spans="1:20">
      <c r="A380" t="s">
        <v>635</v>
      </c>
      <c r="B380" t="s">
        <v>123</v>
      </c>
      <c r="C380" t="s">
        <v>49</v>
      </c>
      <c r="D380" t="s">
        <v>51</v>
      </c>
      <c r="E380" t="s">
        <v>51</v>
      </c>
      <c r="F380" t="s">
        <v>51</v>
      </c>
      <c r="G380" t="s">
        <v>52</v>
      </c>
      <c r="H380" t="s">
        <v>52</v>
      </c>
      <c r="I380" t="s">
        <v>52</v>
      </c>
      <c r="J380" t="s">
        <v>590</v>
      </c>
      <c r="K380" t="s">
        <v>52</v>
      </c>
      <c r="L380" t="s">
        <v>653</v>
      </c>
      <c r="M380" t="s">
        <v>654</v>
      </c>
      <c r="N380" t="s">
        <v>163</v>
      </c>
      <c r="O380" t="s">
        <v>129</v>
      </c>
      <c r="P380" t="s">
        <v>129</v>
      </c>
      <c r="Q380" t="s">
        <v>51</v>
      </c>
      <c r="R380" t="s">
        <v>51</v>
      </c>
      <c r="S380" t="s">
        <v>51</v>
      </c>
      <c r="T380" t="s">
        <v>51</v>
      </c>
    </row>
    <row r="381" spans="1:20">
      <c r="A381" t="s">
        <v>636</v>
      </c>
      <c r="B381" t="s">
        <v>125</v>
      </c>
      <c r="C381" t="s">
        <v>49</v>
      </c>
      <c r="D381" t="s">
        <v>51</v>
      </c>
      <c r="E381" t="s">
        <v>51</v>
      </c>
      <c r="F381" t="s">
        <v>51</v>
      </c>
      <c r="G381" t="s">
        <v>52</v>
      </c>
      <c r="H381" t="s">
        <v>52</v>
      </c>
      <c r="I381" t="s">
        <v>52</v>
      </c>
      <c r="J381" t="s">
        <v>590</v>
      </c>
      <c r="K381" t="s">
        <v>52</v>
      </c>
      <c r="L381" t="s">
        <v>653</v>
      </c>
      <c r="M381" t="s">
        <v>654</v>
      </c>
      <c r="N381" t="s">
        <v>163</v>
      </c>
      <c r="O381" t="s">
        <v>129</v>
      </c>
      <c r="P381" t="s">
        <v>129</v>
      </c>
      <c r="Q381" t="s">
        <v>51</v>
      </c>
      <c r="R381" t="s">
        <v>51</v>
      </c>
      <c r="S381" t="s">
        <v>51</v>
      </c>
      <c r="T381" t="s">
        <v>51</v>
      </c>
    </row>
    <row r="382" spans="1:20">
      <c r="A382" t="s">
        <v>637</v>
      </c>
      <c r="B382" t="s">
        <v>127</v>
      </c>
      <c r="C382" t="s">
        <v>49</v>
      </c>
      <c r="D382" t="s">
        <v>51</v>
      </c>
      <c r="E382" t="s">
        <v>51</v>
      </c>
      <c r="F382" t="s">
        <v>51</v>
      </c>
      <c r="G382" t="s">
        <v>52</v>
      </c>
      <c r="H382" t="s">
        <v>52</v>
      </c>
      <c r="I382" t="s">
        <v>52</v>
      </c>
      <c r="J382" t="s">
        <v>590</v>
      </c>
      <c r="K382" t="s">
        <v>52</v>
      </c>
      <c r="L382" t="s">
        <v>653</v>
      </c>
      <c r="M382" t="s">
        <v>654</v>
      </c>
      <c r="N382" t="s">
        <v>163</v>
      </c>
      <c r="O382" t="s">
        <v>129</v>
      </c>
      <c r="P382" t="s">
        <v>129</v>
      </c>
      <c r="Q382" t="s">
        <v>51</v>
      </c>
      <c r="R382" t="s">
        <v>51</v>
      </c>
      <c r="S382" t="s">
        <v>51</v>
      </c>
      <c r="T382" t="s">
        <v>51</v>
      </c>
    </row>
    <row r="383" spans="1:20">
      <c r="A383" t="s">
        <v>638</v>
      </c>
      <c r="B383" t="s">
        <v>129</v>
      </c>
      <c r="C383" t="s">
        <v>49</v>
      </c>
      <c r="D383" t="s">
        <v>51</v>
      </c>
      <c r="E383" t="s">
        <v>51</v>
      </c>
      <c r="F383" t="s">
        <v>51</v>
      </c>
      <c r="G383" t="s">
        <v>52</v>
      </c>
      <c r="H383" t="s">
        <v>52</v>
      </c>
      <c r="I383" t="s">
        <v>52</v>
      </c>
      <c r="J383" t="s">
        <v>590</v>
      </c>
      <c r="K383" t="s">
        <v>52</v>
      </c>
      <c r="L383" t="s">
        <v>653</v>
      </c>
      <c r="M383" t="s">
        <v>654</v>
      </c>
      <c r="N383" t="s">
        <v>163</v>
      </c>
      <c r="O383" t="s">
        <v>129</v>
      </c>
      <c r="P383" t="s">
        <v>129</v>
      </c>
      <c r="Q383" t="s">
        <v>51</v>
      </c>
      <c r="R383" t="s">
        <v>51</v>
      </c>
      <c r="S383" t="s">
        <v>51</v>
      </c>
      <c r="T383" t="s">
        <v>51</v>
      </c>
    </row>
    <row r="384" spans="1:20">
      <c r="A384" t="s">
        <v>639</v>
      </c>
      <c r="B384" t="s">
        <v>131</v>
      </c>
      <c r="C384" t="s">
        <v>49</v>
      </c>
      <c r="D384" t="s">
        <v>51</v>
      </c>
      <c r="E384" t="s">
        <v>51</v>
      </c>
      <c r="F384" t="s">
        <v>51</v>
      </c>
      <c r="G384" t="s">
        <v>52</v>
      </c>
      <c r="H384" t="s">
        <v>52</v>
      </c>
      <c r="I384" t="s">
        <v>52</v>
      </c>
      <c r="J384" t="s">
        <v>590</v>
      </c>
      <c r="K384" t="s">
        <v>52</v>
      </c>
      <c r="L384" t="s">
        <v>653</v>
      </c>
      <c r="M384" t="s">
        <v>654</v>
      </c>
      <c r="N384" t="s">
        <v>163</v>
      </c>
      <c r="O384" t="s">
        <v>129</v>
      </c>
      <c r="P384" t="s">
        <v>129</v>
      </c>
      <c r="Q384" t="s">
        <v>51</v>
      </c>
      <c r="R384" t="s">
        <v>51</v>
      </c>
      <c r="S384" t="s">
        <v>51</v>
      </c>
      <c r="T384" t="s">
        <v>51</v>
      </c>
    </row>
    <row r="385" spans="1:20">
      <c r="A385" t="s">
        <v>640</v>
      </c>
      <c r="B385" t="s">
        <v>133</v>
      </c>
      <c r="C385" t="s">
        <v>49</v>
      </c>
      <c r="D385" t="s">
        <v>51</v>
      </c>
      <c r="E385" t="s">
        <v>51</v>
      </c>
      <c r="F385" t="s">
        <v>51</v>
      </c>
      <c r="G385" t="s">
        <v>52</v>
      </c>
      <c r="H385" t="s">
        <v>52</v>
      </c>
      <c r="I385" t="s">
        <v>52</v>
      </c>
      <c r="J385" t="s">
        <v>590</v>
      </c>
      <c r="K385" t="s">
        <v>52</v>
      </c>
      <c r="L385" t="s">
        <v>653</v>
      </c>
      <c r="M385" t="s">
        <v>654</v>
      </c>
      <c r="N385" t="s">
        <v>163</v>
      </c>
      <c r="O385" t="s">
        <v>129</v>
      </c>
      <c r="P385" t="s">
        <v>129</v>
      </c>
      <c r="Q385" t="s">
        <v>51</v>
      </c>
      <c r="R385" t="s">
        <v>51</v>
      </c>
      <c r="S385" t="s">
        <v>51</v>
      </c>
      <c r="T385" t="s">
        <v>51</v>
      </c>
    </row>
    <row r="386" spans="1:20">
      <c r="A386" t="s">
        <v>641</v>
      </c>
      <c r="B386" t="s">
        <v>135</v>
      </c>
      <c r="C386" t="s">
        <v>49</v>
      </c>
      <c r="D386" t="s">
        <v>51</v>
      </c>
      <c r="E386" t="s">
        <v>51</v>
      </c>
      <c r="F386" t="s">
        <v>51</v>
      </c>
      <c r="G386" t="s">
        <v>52</v>
      </c>
      <c r="H386" t="s">
        <v>52</v>
      </c>
      <c r="I386" t="s">
        <v>52</v>
      </c>
      <c r="J386" t="s">
        <v>590</v>
      </c>
      <c r="K386" t="s">
        <v>52</v>
      </c>
      <c r="L386" t="s">
        <v>653</v>
      </c>
      <c r="M386" t="s">
        <v>654</v>
      </c>
      <c r="N386" t="s">
        <v>163</v>
      </c>
      <c r="O386" t="s">
        <v>129</v>
      </c>
      <c r="P386" t="s">
        <v>129</v>
      </c>
      <c r="Q386" t="s">
        <v>51</v>
      </c>
      <c r="R386" t="s">
        <v>51</v>
      </c>
      <c r="S386" t="s">
        <v>51</v>
      </c>
      <c r="T386" t="s">
        <v>51</v>
      </c>
    </row>
    <row r="387" spans="1:20">
      <c r="A387" t="s">
        <v>642</v>
      </c>
      <c r="B387" t="s">
        <v>137</v>
      </c>
      <c r="C387" t="s">
        <v>49</v>
      </c>
      <c r="D387" t="s">
        <v>51</v>
      </c>
      <c r="E387" t="s">
        <v>51</v>
      </c>
      <c r="F387" t="s">
        <v>51</v>
      </c>
      <c r="G387" t="s">
        <v>52</v>
      </c>
      <c r="H387" t="s">
        <v>52</v>
      </c>
      <c r="I387" t="s">
        <v>52</v>
      </c>
      <c r="J387" t="s">
        <v>590</v>
      </c>
      <c r="K387" t="s">
        <v>52</v>
      </c>
      <c r="L387" t="s">
        <v>653</v>
      </c>
      <c r="M387" t="s">
        <v>654</v>
      </c>
      <c r="N387" t="s">
        <v>163</v>
      </c>
      <c r="O387" t="s">
        <v>129</v>
      </c>
      <c r="P387" t="s">
        <v>129</v>
      </c>
      <c r="Q387" t="s">
        <v>51</v>
      </c>
      <c r="R387" t="s">
        <v>51</v>
      </c>
      <c r="S387" t="s">
        <v>51</v>
      </c>
      <c r="T387" t="s">
        <v>51</v>
      </c>
    </row>
    <row r="388" spans="1:20">
      <c r="A388" t="s">
        <v>643</v>
      </c>
      <c r="B388" t="s">
        <v>139</v>
      </c>
      <c r="C388" t="s">
        <v>49</v>
      </c>
      <c r="D388" t="s">
        <v>51</v>
      </c>
      <c r="E388" t="s">
        <v>51</v>
      </c>
      <c r="F388" t="s">
        <v>51</v>
      </c>
      <c r="G388" t="s">
        <v>52</v>
      </c>
      <c r="H388" t="s">
        <v>52</v>
      </c>
      <c r="I388" t="s">
        <v>52</v>
      </c>
      <c r="J388" t="s">
        <v>590</v>
      </c>
      <c r="K388" t="s">
        <v>52</v>
      </c>
      <c r="L388" t="s">
        <v>653</v>
      </c>
      <c r="M388" t="s">
        <v>654</v>
      </c>
      <c r="N388" t="s">
        <v>163</v>
      </c>
      <c r="O388" t="s">
        <v>129</v>
      </c>
      <c r="P388" t="s">
        <v>129</v>
      </c>
      <c r="Q388" t="s">
        <v>51</v>
      </c>
      <c r="R388" t="s">
        <v>51</v>
      </c>
      <c r="S388" t="s">
        <v>51</v>
      </c>
      <c r="T388" t="s">
        <v>51</v>
      </c>
    </row>
    <row r="389" spans="1:20">
      <c r="A389" t="s">
        <v>644</v>
      </c>
      <c r="B389" t="s">
        <v>141</v>
      </c>
      <c r="C389" t="s">
        <v>49</v>
      </c>
      <c r="D389" t="s">
        <v>51</v>
      </c>
      <c r="E389" t="s">
        <v>51</v>
      </c>
      <c r="F389" t="s">
        <v>51</v>
      </c>
      <c r="G389" t="s">
        <v>52</v>
      </c>
      <c r="H389" t="s">
        <v>52</v>
      </c>
      <c r="I389" t="s">
        <v>52</v>
      </c>
      <c r="J389" t="s">
        <v>590</v>
      </c>
      <c r="K389" t="s">
        <v>52</v>
      </c>
      <c r="L389" t="s">
        <v>653</v>
      </c>
      <c r="M389" t="s">
        <v>654</v>
      </c>
      <c r="N389" t="s">
        <v>163</v>
      </c>
      <c r="O389" t="s">
        <v>129</v>
      </c>
      <c r="P389" t="s">
        <v>129</v>
      </c>
      <c r="Q389" t="s">
        <v>51</v>
      </c>
      <c r="R389" t="s">
        <v>51</v>
      </c>
      <c r="S389" t="s">
        <v>51</v>
      </c>
      <c r="T389" t="s">
        <v>51</v>
      </c>
    </row>
    <row r="390" spans="1:20">
      <c r="A390" t="s">
        <v>645</v>
      </c>
      <c r="B390" t="s">
        <v>143</v>
      </c>
      <c r="C390" t="s">
        <v>49</v>
      </c>
      <c r="D390" t="s">
        <v>51</v>
      </c>
      <c r="E390" t="s">
        <v>51</v>
      </c>
      <c r="F390" t="s">
        <v>51</v>
      </c>
      <c r="G390" t="s">
        <v>52</v>
      </c>
      <c r="H390" t="s">
        <v>52</v>
      </c>
      <c r="I390" t="s">
        <v>52</v>
      </c>
      <c r="J390" t="s">
        <v>590</v>
      </c>
      <c r="K390" t="s">
        <v>52</v>
      </c>
      <c r="L390" t="s">
        <v>653</v>
      </c>
      <c r="M390" t="s">
        <v>654</v>
      </c>
      <c r="N390" t="s">
        <v>163</v>
      </c>
      <c r="O390" t="s">
        <v>129</v>
      </c>
      <c r="P390" t="s">
        <v>129</v>
      </c>
      <c r="Q390" t="s">
        <v>51</v>
      </c>
      <c r="R390" t="s">
        <v>51</v>
      </c>
      <c r="S390" t="s">
        <v>51</v>
      </c>
      <c r="T390" t="s">
        <v>51</v>
      </c>
    </row>
    <row r="391" spans="1:20">
      <c r="A391" t="s">
        <v>646</v>
      </c>
      <c r="B391" t="s">
        <v>145</v>
      </c>
      <c r="C391" t="s">
        <v>49</v>
      </c>
      <c r="D391" t="s">
        <v>51</v>
      </c>
      <c r="E391" t="s">
        <v>51</v>
      </c>
      <c r="F391" t="s">
        <v>51</v>
      </c>
      <c r="G391" t="s">
        <v>52</v>
      </c>
      <c r="H391" t="s">
        <v>52</v>
      </c>
      <c r="I391" t="s">
        <v>52</v>
      </c>
      <c r="J391" t="s">
        <v>590</v>
      </c>
      <c r="K391" t="s">
        <v>52</v>
      </c>
      <c r="L391" t="s">
        <v>653</v>
      </c>
      <c r="M391" t="s">
        <v>654</v>
      </c>
      <c r="N391" t="s">
        <v>163</v>
      </c>
      <c r="O391" t="s">
        <v>129</v>
      </c>
      <c r="P391" t="s">
        <v>129</v>
      </c>
      <c r="Q391" t="s">
        <v>51</v>
      </c>
      <c r="R391" t="s">
        <v>51</v>
      </c>
      <c r="S391" t="s">
        <v>51</v>
      </c>
      <c r="T391" t="s">
        <v>51</v>
      </c>
    </row>
    <row r="392" spans="1:20">
      <c r="A392" t="s">
        <v>647</v>
      </c>
      <c r="B392" t="s">
        <v>147</v>
      </c>
      <c r="C392" t="s">
        <v>49</v>
      </c>
      <c r="D392" t="s">
        <v>51</v>
      </c>
      <c r="E392" t="s">
        <v>51</v>
      </c>
      <c r="F392" t="s">
        <v>51</v>
      </c>
      <c r="G392" t="s">
        <v>52</v>
      </c>
      <c r="H392" t="s">
        <v>52</v>
      </c>
      <c r="I392" t="s">
        <v>52</v>
      </c>
      <c r="J392" t="s">
        <v>590</v>
      </c>
      <c r="K392" t="s">
        <v>52</v>
      </c>
      <c r="L392" t="s">
        <v>653</v>
      </c>
      <c r="M392" t="s">
        <v>654</v>
      </c>
      <c r="N392" t="s">
        <v>163</v>
      </c>
      <c r="O392" t="s">
        <v>129</v>
      </c>
      <c r="P392" t="s">
        <v>129</v>
      </c>
      <c r="Q392" t="s">
        <v>51</v>
      </c>
      <c r="R392" t="s">
        <v>51</v>
      </c>
      <c r="S392" t="s">
        <v>51</v>
      </c>
      <c r="T392" t="s">
        <v>51</v>
      </c>
    </row>
    <row r="393" spans="1:20">
      <c r="A393" t="s">
        <v>648</v>
      </c>
      <c r="B393" t="s">
        <v>149</v>
      </c>
      <c r="C393" t="s">
        <v>49</v>
      </c>
      <c r="D393" t="s">
        <v>51</v>
      </c>
      <c r="E393" t="s">
        <v>51</v>
      </c>
      <c r="F393" t="s">
        <v>51</v>
      </c>
      <c r="G393" t="s">
        <v>52</v>
      </c>
      <c r="H393" t="s">
        <v>52</v>
      </c>
      <c r="I393" t="s">
        <v>52</v>
      </c>
      <c r="J393" t="s">
        <v>590</v>
      </c>
      <c r="K393" t="s">
        <v>52</v>
      </c>
      <c r="L393" t="s">
        <v>653</v>
      </c>
      <c r="M393" t="s">
        <v>654</v>
      </c>
      <c r="N393" t="s">
        <v>163</v>
      </c>
      <c r="O393" t="s">
        <v>129</v>
      </c>
      <c r="P393" t="s">
        <v>129</v>
      </c>
      <c r="Q393" t="s">
        <v>51</v>
      </c>
      <c r="R393" t="s">
        <v>51</v>
      </c>
      <c r="S393" t="s">
        <v>51</v>
      </c>
      <c r="T393" t="s">
        <v>51</v>
      </c>
    </row>
    <row r="394" spans="1:20">
      <c r="A394" t="s">
        <v>649</v>
      </c>
      <c r="B394" t="s">
        <v>151</v>
      </c>
      <c r="C394" t="s">
        <v>49</v>
      </c>
      <c r="D394" t="s">
        <v>51</v>
      </c>
      <c r="E394" t="s">
        <v>51</v>
      </c>
      <c r="F394" t="s">
        <v>51</v>
      </c>
      <c r="G394" t="s">
        <v>52</v>
      </c>
      <c r="H394" t="s">
        <v>52</v>
      </c>
      <c r="I394" t="s">
        <v>52</v>
      </c>
      <c r="J394" t="s">
        <v>590</v>
      </c>
      <c r="K394" t="s">
        <v>52</v>
      </c>
      <c r="L394" t="s">
        <v>653</v>
      </c>
      <c r="M394" t="s">
        <v>654</v>
      </c>
      <c r="N394" t="s">
        <v>163</v>
      </c>
      <c r="O394" t="s">
        <v>129</v>
      </c>
      <c r="P394" t="s">
        <v>129</v>
      </c>
      <c r="Q394" t="s">
        <v>51</v>
      </c>
      <c r="R394" t="s">
        <v>51</v>
      </c>
      <c r="S394" t="s">
        <v>51</v>
      </c>
      <c r="T394" t="s">
        <v>51</v>
      </c>
    </row>
    <row r="395" spans="1:20">
      <c r="A395" t="s">
        <v>650</v>
      </c>
      <c r="B395" t="s">
        <v>153</v>
      </c>
      <c r="C395" t="s">
        <v>49</v>
      </c>
      <c r="D395" t="s">
        <v>51</v>
      </c>
      <c r="E395" t="s">
        <v>51</v>
      </c>
      <c r="F395" t="s">
        <v>51</v>
      </c>
      <c r="G395" t="s">
        <v>52</v>
      </c>
      <c r="H395" t="s">
        <v>52</v>
      </c>
      <c r="I395" t="s">
        <v>52</v>
      </c>
      <c r="J395" t="s">
        <v>590</v>
      </c>
      <c r="K395" t="s">
        <v>52</v>
      </c>
      <c r="L395" t="s">
        <v>653</v>
      </c>
      <c r="M395" t="s">
        <v>654</v>
      </c>
      <c r="N395" t="s">
        <v>163</v>
      </c>
      <c r="O395" t="s">
        <v>129</v>
      </c>
      <c r="P395" t="s">
        <v>129</v>
      </c>
      <c r="Q395" t="s">
        <v>51</v>
      </c>
      <c r="R395" t="s">
        <v>51</v>
      </c>
      <c r="S395" t="s">
        <v>51</v>
      </c>
      <c r="T395" t="s">
        <v>51</v>
      </c>
    </row>
    <row r="396" spans="1:20">
      <c r="A396" t="s">
        <v>588</v>
      </c>
      <c r="B396" t="s">
        <v>589</v>
      </c>
      <c r="C396" t="s">
        <v>165</v>
      </c>
      <c r="D396" t="s">
        <v>50</v>
      </c>
      <c r="E396" t="s">
        <v>51</v>
      </c>
      <c r="F396" t="s">
        <v>51</v>
      </c>
      <c r="G396" t="s">
        <v>52</v>
      </c>
      <c r="H396" t="s">
        <v>52</v>
      </c>
      <c r="I396" t="s">
        <v>52</v>
      </c>
      <c r="J396" t="s">
        <v>52</v>
      </c>
      <c r="K396" t="s">
        <v>52</v>
      </c>
      <c r="L396" t="s">
        <v>655</v>
      </c>
      <c r="M396" t="s">
        <v>654</v>
      </c>
      <c r="N396" t="s">
        <v>163</v>
      </c>
      <c r="O396" t="s">
        <v>131</v>
      </c>
      <c r="P396" t="s">
        <v>131</v>
      </c>
      <c r="Q396" t="s">
        <v>51</v>
      </c>
      <c r="R396" t="s">
        <v>51</v>
      </c>
      <c r="S396" t="s">
        <v>51</v>
      </c>
      <c r="T396" t="s">
        <v>51</v>
      </c>
    </row>
    <row r="397" spans="1:20">
      <c r="A397" t="s">
        <v>602</v>
      </c>
      <c r="B397" t="s">
        <v>58</v>
      </c>
      <c r="C397" t="s">
        <v>49</v>
      </c>
      <c r="D397" t="s">
        <v>51</v>
      </c>
      <c r="E397" t="s">
        <v>51</v>
      </c>
      <c r="F397" t="s">
        <v>51</v>
      </c>
      <c r="G397" t="s">
        <v>52</v>
      </c>
      <c r="H397" t="s">
        <v>52</v>
      </c>
      <c r="I397" t="s">
        <v>52</v>
      </c>
      <c r="J397" t="s">
        <v>590</v>
      </c>
      <c r="K397" t="s">
        <v>52</v>
      </c>
      <c r="L397" t="s">
        <v>655</v>
      </c>
      <c r="M397" t="s">
        <v>654</v>
      </c>
      <c r="N397" t="s">
        <v>163</v>
      </c>
      <c r="O397" t="s">
        <v>131</v>
      </c>
      <c r="P397" t="s">
        <v>131</v>
      </c>
      <c r="Q397" t="s">
        <v>51</v>
      </c>
      <c r="R397" t="s">
        <v>51</v>
      </c>
      <c r="S397" t="s">
        <v>51</v>
      </c>
      <c r="T397" t="s">
        <v>51</v>
      </c>
    </row>
    <row r="398" spans="1:20">
      <c r="A398" t="s">
        <v>603</v>
      </c>
      <c r="B398" t="s">
        <v>60</v>
      </c>
      <c r="C398" t="s">
        <v>49</v>
      </c>
      <c r="D398" t="s">
        <v>51</v>
      </c>
      <c r="E398" t="s">
        <v>51</v>
      </c>
      <c r="F398" t="s">
        <v>51</v>
      </c>
      <c r="G398" t="s">
        <v>52</v>
      </c>
      <c r="H398" t="s">
        <v>52</v>
      </c>
      <c r="I398" t="s">
        <v>52</v>
      </c>
      <c r="J398" t="s">
        <v>590</v>
      </c>
      <c r="K398" t="s">
        <v>52</v>
      </c>
      <c r="L398" t="s">
        <v>655</v>
      </c>
      <c r="M398" t="s">
        <v>654</v>
      </c>
      <c r="N398" t="s">
        <v>163</v>
      </c>
      <c r="O398" t="s">
        <v>131</v>
      </c>
      <c r="P398" t="s">
        <v>131</v>
      </c>
      <c r="Q398" t="s">
        <v>51</v>
      </c>
      <c r="R398" t="s">
        <v>51</v>
      </c>
      <c r="S398" t="s">
        <v>51</v>
      </c>
      <c r="T398" t="s">
        <v>51</v>
      </c>
    </row>
    <row r="399" spans="1:20">
      <c r="A399" t="s">
        <v>604</v>
      </c>
      <c r="B399" t="s">
        <v>62</v>
      </c>
      <c r="C399" t="s">
        <v>49</v>
      </c>
      <c r="D399" t="s">
        <v>51</v>
      </c>
      <c r="E399" t="s">
        <v>51</v>
      </c>
      <c r="F399" t="s">
        <v>51</v>
      </c>
      <c r="G399" t="s">
        <v>52</v>
      </c>
      <c r="H399" t="s">
        <v>52</v>
      </c>
      <c r="I399" t="s">
        <v>52</v>
      </c>
      <c r="J399" t="s">
        <v>590</v>
      </c>
      <c r="K399" t="s">
        <v>52</v>
      </c>
      <c r="L399" t="s">
        <v>655</v>
      </c>
      <c r="M399" t="s">
        <v>654</v>
      </c>
      <c r="N399" t="s">
        <v>163</v>
      </c>
      <c r="O399" t="s">
        <v>131</v>
      </c>
      <c r="P399" t="s">
        <v>131</v>
      </c>
      <c r="Q399" t="s">
        <v>51</v>
      </c>
      <c r="R399" t="s">
        <v>51</v>
      </c>
      <c r="S399" t="s">
        <v>51</v>
      </c>
      <c r="T399" t="s">
        <v>51</v>
      </c>
    </row>
    <row r="400" spans="1:20">
      <c r="A400" t="s">
        <v>605</v>
      </c>
      <c r="B400" t="s">
        <v>56</v>
      </c>
      <c r="C400" t="s">
        <v>49</v>
      </c>
      <c r="D400" t="s">
        <v>51</v>
      </c>
      <c r="E400" t="s">
        <v>51</v>
      </c>
      <c r="F400" t="s">
        <v>51</v>
      </c>
      <c r="G400" t="s">
        <v>52</v>
      </c>
      <c r="H400" t="s">
        <v>52</v>
      </c>
      <c r="I400" t="s">
        <v>52</v>
      </c>
      <c r="J400" t="s">
        <v>590</v>
      </c>
      <c r="K400" t="s">
        <v>52</v>
      </c>
      <c r="L400" t="s">
        <v>655</v>
      </c>
      <c r="M400" t="s">
        <v>654</v>
      </c>
      <c r="N400" t="s">
        <v>163</v>
      </c>
      <c r="O400" t="s">
        <v>131</v>
      </c>
      <c r="P400" t="s">
        <v>131</v>
      </c>
      <c r="Q400" t="s">
        <v>51</v>
      </c>
      <c r="R400" t="s">
        <v>51</v>
      </c>
      <c r="S400" t="s">
        <v>51</v>
      </c>
      <c r="T400" t="s">
        <v>51</v>
      </c>
    </row>
    <row r="401" spans="1:20">
      <c r="A401" t="s">
        <v>606</v>
      </c>
      <c r="B401" t="s">
        <v>65</v>
      </c>
      <c r="C401" t="s">
        <v>49</v>
      </c>
      <c r="D401" t="s">
        <v>51</v>
      </c>
      <c r="E401" t="s">
        <v>51</v>
      </c>
      <c r="F401" t="s">
        <v>51</v>
      </c>
      <c r="G401" t="s">
        <v>52</v>
      </c>
      <c r="H401" t="s">
        <v>52</v>
      </c>
      <c r="I401" t="s">
        <v>52</v>
      </c>
      <c r="J401" t="s">
        <v>590</v>
      </c>
      <c r="K401" t="s">
        <v>52</v>
      </c>
      <c r="L401" t="s">
        <v>655</v>
      </c>
      <c r="M401" t="s">
        <v>654</v>
      </c>
      <c r="N401" t="s">
        <v>163</v>
      </c>
      <c r="O401" t="s">
        <v>131</v>
      </c>
      <c r="P401" t="s">
        <v>131</v>
      </c>
      <c r="Q401" t="s">
        <v>51</v>
      </c>
      <c r="R401" t="s">
        <v>51</v>
      </c>
      <c r="S401" t="s">
        <v>51</v>
      </c>
      <c r="T401" t="s">
        <v>51</v>
      </c>
    </row>
    <row r="402" spans="1:20">
      <c r="A402" t="s">
        <v>607</v>
      </c>
      <c r="B402" t="s">
        <v>67</v>
      </c>
      <c r="C402" t="s">
        <v>49</v>
      </c>
      <c r="D402" t="s">
        <v>51</v>
      </c>
      <c r="E402" t="s">
        <v>51</v>
      </c>
      <c r="F402" t="s">
        <v>51</v>
      </c>
      <c r="G402" t="s">
        <v>52</v>
      </c>
      <c r="H402" t="s">
        <v>52</v>
      </c>
      <c r="I402" t="s">
        <v>52</v>
      </c>
      <c r="J402" t="s">
        <v>590</v>
      </c>
      <c r="K402" t="s">
        <v>52</v>
      </c>
      <c r="L402" t="s">
        <v>655</v>
      </c>
      <c r="M402" t="s">
        <v>654</v>
      </c>
      <c r="N402" t="s">
        <v>163</v>
      </c>
      <c r="O402" t="s">
        <v>131</v>
      </c>
      <c r="P402" t="s">
        <v>131</v>
      </c>
      <c r="Q402" t="s">
        <v>51</v>
      </c>
      <c r="R402" t="s">
        <v>51</v>
      </c>
      <c r="S402" t="s">
        <v>51</v>
      </c>
      <c r="T402" t="s">
        <v>51</v>
      </c>
    </row>
    <row r="403" spans="1:20">
      <c r="A403" t="s">
        <v>608</v>
      </c>
      <c r="B403" t="s">
        <v>69</v>
      </c>
      <c r="C403" t="s">
        <v>49</v>
      </c>
      <c r="D403" t="s">
        <v>51</v>
      </c>
      <c r="E403" t="s">
        <v>51</v>
      </c>
      <c r="F403" t="s">
        <v>51</v>
      </c>
      <c r="G403" t="s">
        <v>52</v>
      </c>
      <c r="H403" t="s">
        <v>52</v>
      </c>
      <c r="I403" t="s">
        <v>52</v>
      </c>
      <c r="J403" t="s">
        <v>590</v>
      </c>
      <c r="K403" t="s">
        <v>52</v>
      </c>
      <c r="L403" t="s">
        <v>655</v>
      </c>
      <c r="M403" t="s">
        <v>654</v>
      </c>
      <c r="N403" t="s">
        <v>163</v>
      </c>
      <c r="O403" t="s">
        <v>131</v>
      </c>
      <c r="P403" t="s">
        <v>131</v>
      </c>
      <c r="Q403" t="s">
        <v>51</v>
      </c>
      <c r="R403" t="s">
        <v>51</v>
      </c>
      <c r="S403" t="s">
        <v>51</v>
      </c>
      <c r="T403" t="s">
        <v>51</v>
      </c>
    </row>
    <row r="404" spans="1:20">
      <c r="A404" t="s">
        <v>609</v>
      </c>
      <c r="B404" t="s">
        <v>71</v>
      </c>
      <c r="C404" t="s">
        <v>49</v>
      </c>
      <c r="D404" t="s">
        <v>51</v>
      </c>
      <c r="E404" t="s">
        <v>51</v>
      </c>
      <c r="F404" t="s">
        <v>51</v>
      </c>
      <c r="G404" t="s">
        <v>52</v>
      </c>
      <c r="H404" t="s">
        <v>52</v>
      </c>
      <c r="I404" t="s">
        <v>52</v>
      </c>
      <c r="J404" t="s">
        <v>590</v>
      </c>
      <c r="K404" t="s">
        <v>52</v>
      </c>
      <c r="L404" t="s">
        <v>655</v>
      </c>
      <c r="M404" t="s">
        <v>654</v>
      </c>
      <c r="N404" t="s">
        <v>163</v>
      </c>
      <c r="O404" t="s">
        <v>131</v>
      </c>
      <c r="P404" t="s">
        <v>131</v>
      </c>
      <c r="Q404" t="s">
        <v>51</v>
      </c>
      <c r="R404" t="s">
        <v>51</v>
      </c>
      <c r="S404" t="s">
        <v>51</v>
      </c>
      <c r="T404" t="s">
        <v>51</v>
      </c>
    </row>
    <row r="405" spans="1:20">
      <c r="A405" t="s">
        <v>610</v>
      </c>
      <c r="B405" t="s">
        <v>73</v>
      </c>
      <c r="C405" t="s">
        <v>49</v>
      </c>
      <c r="D405" t="s">
        <v>51</v>
      </c>
      <c r="E405" t="s">
        <v>51</v>
      </c>
      <c r="F405" t="s">
        <v>51</v>
      </c>
      <c r="G405" t="s">
        <v>52</v>
      </c>
      <c r="H405" t="s">
        <v>52</v>
      </c>
      <c r="I405" t="s">
        <v>52</v>
      </c>
      <c r="J405" t="s">
        <v>590</v>
      </c>
      <c r="K405" t="s">
        <v>52</v>
      </c>
      <c r="L405" t="s">
        <v>655</v>
      </c>
      <c r="M405" t="s">
        <v>654</v>
      </c>
      <c r="N405" t="s">
        <v>163</v>
      </c>
      <c r="O405" t="s">
        <v>131</v>
      </c>
      <c r="P405" t="s">
        <v>131</v>
      </c>
      <c r="Q405" t="s">
        <v>51</v>
      </c>
      <c r="R405" t="s">
        <v>51</v>
      </c>
      <c r="S405" t="s">
        <v>51</v>
      </c>
      <c r="T405" t="s">
        <v>51</v>
      </c>
    </row>
    <row r="406" spans="1:20">
      <c r="A406" t="s">
        <v>611</v>
      </c>
      <c r="B406" t="s">
        <v>75</v>
      </c>
      <c r="C406" t="s">
        <v>49</v>
      </c>
      <c r="D406" t="s">
        <v>51</v>
      </c>
      <c r="E406" t="s">
        <v>51</v>
      </c>
      <c r="F406" t="s">
        <v>51</v>
      </c>
      <c r="G406" t="s">
        <v>52</v>
      </c>
      <c r="H406" t="s">
        <v>52</v>
      </c>
      <c r="I406" t="s">
        <v>52</v>
      </c>
      <c r="J406" t="s">
        <v>590</v>
      </c>
      <c r="K406" t="s">
        <v>52</v>
      </c>
      <c r="L406" t="s">
        <v>655</v>
      </c>
      <c r="M406" t="s">
        <v>654</v>
      </c>
      <c r="N406" t="s">
        <v>163</v>
      </c>
      <c r="O406" t="s">
        <v>131</v>
      </c>
      <c r="P406" t="s">
        <v>131</v>
      </c>
      <c r="Q406" t="s">
        <v>51</v>
      </c>
      <c r="R406" t="s">
        <v>51</v>
      </c>
      <c r="S406" t="s">
        <v>51</v>
      </c>
      <c r="T406" t="s">
        <v>51</v>
      </c>
    </row>
    <row r="407" spans="1:20">
      <c r="A407" t="s">
        <v>612</v>
      </c>
      <c r="B407" t="s">
        <v>77</v>
      </c>
      <c r="C407" t="s">
        <v>49</v>
      </c>
      <c r="D407" t="s">
        <v>51</v>
      </c>
      <c r="E407" t="s">
        <v>51</v>
      </c>
      <c r="F407" t="s">
        <v>51</v>
      </c>
      <c r="G407" t="s">
        <v>52</v>
      </c>
      <c r="H407" t="s">
        <v>52</v>
      </c>
      <c r="I407" t="s">
        <v>52</v>
      </c>
      <c r="J407" t="s">
        <v>590</v>
      </c>
      <c r="K407" t="s">
        <v>52</v>
      </c>
      <c r="L407" t="s">
        <v>655</v>
      </c>
      <c r="M407" t="s">
        <v>654</v>
      </c>
      <c r="N407" t="s">
        <v>163</v>
      </c>
      <c r="O407" t="s">
        <v>131</v>
      </c>
      <c r="P407" t="s">
        <v>131</v>
      </c>
      <c r="Q407" t="s">
        <v>51</v>
      </c>
      <c r="R407" t="s">
        <v>51</v>
      </c>
      <c r="S407" t="s">
        <v>51</v>
      </c>
      <c r="T407" t="s">
        <v>51</v>
      </c>
    </row>
    <row r="408" spans="1:20">
      <c r="A408" t="s">
        <v>613</v>
      </c>
      <c r="B408" t="s">
        <v>79</v>
      </c>
      <c r="C408" t="s">
        <v>49</v>
      </c>
      <c r="D408" t="s">
        <v>51</v>
      </c>
      <c r="E408" t="s">
        <v>51</v>
      </c>
      <c r="F408" t="s">
        <v>51</v>
      </c>
      <c r="G408" t="s">
        <v>52</v>
      </c>
      <c r="H408" t="s">
        <v>52</v>
      </c>
      <c r="I408" t="s">
        <v>52</v>
      </c>
      <c r="J408" t="s">
        <v>590</v>
      </c>
      <c r="K408" t="s">
        <v>52</v>
      </c>
      <c r="L408" t="s">
        <v>655</v>
      </c>
      <c r="M408" t="s">
        <v>654</v>
      </c>
      <c r="N408" t="s">
        <v>163</v>
      </c>
      <c r="O408" t="s">
        <v>131</v>
      </c>
      <c r="P408" t="s">
        <v>131</v>
      </c>
      <c r="Q408" t="s">
        <v>51</v>
      </c>
      <c r="R408" t="s">
        <v>51</v>
      </c>
      <c r="S408" t="s">
        <v>51</v>
      </c>
      <c r="T408" t="s">
        <v>51</v>
      </c>
    </row>
    <row r="409" spans="1:20">
      <c r="A409" t="s">
        <v>614</v>
      </c>
      <c r="B409" t="s">
        <v>81</v>
      </c>
      <c r="C409" t="s">
        <v>49</v>
      </c>
      <c r="D409" t="s">
        <v>51</v>
      </c>
      <c r="E409" t="s">
        <v>51</v>
      </c>
      <c r="F409" t="s">
        <v>51</v>
      </c>
      <c r="G409" t="s">
        <v>52</v>
      </c>
      <c r="H409" t="s">
        <v>52</v>
      </c>
      <c r="I409" t="s">
        <v>52</v>
      </c>
      <c r="J409" t="s">
        <v>590</v>
      </c>
      <c r="K409" t="s">
        <v>52</v>
      </c>
      <c r="L409" t="s">
        <v>655</v>
      </c>
      <c r="M409" t="s">
        <v>654</v>
      </c>
      <c r="N409" t="s">
        <v>163</v>
      </c>
      <c r="O409" t="s">
        <v>131</v>
      </c>
      <c r="P409" t="s">
        <v>131</v>
      </c>
      <c r="Q409" t="s">
        <v>51</v>
      </c>
      <c r="R409" t="s">
        <v>51</v>
      </c>
      <c r="S409" t="s">
        <v>51</v>
      </c>
      <c r="T409" t="s">
        <v>51</v>
      </c>
    </row>
    <row r="410" spans="1:20">
      <c r="A410" t="s">
        <v>615</v>
      </c>
      <c r="B410" t="s">
        <v>83</v>
      </c>
      <c r="C410" t="s">
        <v>49</v>
      </c>
      <c r="D410" t="s">
        <v>51</v>
      </c>
      <c r="E410" t="s">
        <v>51</v>
      </c>
      <c r="F410" t="s">
        <v>51</v>
      </c>
      <c r="G410" t="s">
        <v>52</v>
      </c>
      <c r="H410" t="s">
        <v>52</v>
      </c>
      <c r="I410" t="s">
        <v>52</v>
      </c>
      <c r="J410" t="s">
        <v>590</v>
      </c>
      <c r="K410" t="s">
        <v>52</v>
      </c>
      <c r="L410" t="s">
        <v>655</v>
      </c>
      <c r="M410" t="s">
        <v>654</v>
      </c>
      <c r="N410" t="s">
        <v>163</v>
      </c>
      <c r="O410" t="s">
        <v>131</v>
      </c>
      <c r="P410" t="s">
        <v>131</v>
      </c>
      <c r="Q410" t="s">
        <v>51</v>
      </c>
      <c r="R410" t="s">
        <v>51</v>
      </c>
      <c r="S410" t="s">
        <v>51</v>
      </c>
      <c r="T410" t="s">
        <v>51</v>
      </c>
    </row>
    <row r="411" spans="1:20">
      <c r="A411" t="s">
        <v>616</v>
      </c>
      <c r="B411" t="s">
        <v>85</v>
      </c>
      <c r="C411" t="s">
        <v>49</v>
      </c>
      <c r="D411" t="s">
        <v>51</v>
      </c>
      <c r="E411" t="s">
        <v>51</v>
      </c>
      <c r="F411" t="s">
        <v>51</v>
      </c>
      <c r="G411" t="s">
        <v>52</v>
      </c>
      <c r="H411" t="s">
        <v>52</v>
      </c>
      <c r="I411" t="s">
        <v>52</v>
      </c>
      <c r="J411" t="s">
        <v>590</v>
      </c>
      <c r="K411" t="s">
        <v>52</v>
      </c>
      <c r="L411" t="s">
        <v>655</v>
      </c>
      <c r="M411" t="s">
        <v>654</v>
      </c>
      <c r="N411" t="s">
        <v>163</v>
      </c>
      <c r="O411" t="s">
        <v>131</v>
      </c>
      <c r="P411" t="s">
        <v>131</v>
      </c>
      <c r="Q411" t="s">
        <v>51</v>
      </c>
      <c r="R411" t="s">
        <v>51</v>
      </c>
      <c r="S411" t="s">
        <v>51</v>
      </c>
      <c r="T411" t="s">
        <v>51</v>
      </c>
    </row>
    <row r="412" spans="1:20">
      <c r="A412" t="s">
        <v>617</v>
      </c>
      <c r="B412" t="s">
        <v>87</v>
      </c>
      <c r="C412" t="s">
        <v>49</v>
      </c>
      <c r="D412" t="s">
        <v>51</v>
      </c>
      <c r="E412" t="s">
        <v>51</v>
      </c>
      <c r="F412" t="s">
        <v>51</v>
      </c>
      <c r="G412" t="s">
        <v>52</v>
      </c>
      <c r="H412" t="s">
        <v>52</v>
      </c>
      <c r="I412" t="s">
        <v>52</v>
      </c>
      <c r="J412" t="s">
        <v>590</v>
      </c>
      <c r="K412" t="s">
        <v>52</v>
      </c>
      <c r="L412" t="s">
        <v>655</v>
      </c>
      <c r="M412" t="s">
        <v>654</v>
      </c>
      <c r="N412" t="s">
        <v>163</v>
      </c>
      <c r="O412" t="s">
        <v>131</v>
      </c>
      <c r="P412" t="s">
        <v>131</v>
      </c>
      <c r="Q412" t="s">
        <v>51</v>
      </c>
      <c r="R412" t="s">
        <v>51</v>
      </c>
      <c r="S412" t="s">
        <v>51</v>
      </c>
      <c r="T412" t="s">
        <v>51</v>
      </c>
    </row>
    <row r="413" spans="1:20">
      <c r="A413" t="s">
        <v>618</v>
      </c>
      <c r="B413" t="s">
        <v>89</v>
      </c>
      <c r="C413" t="s">
        <v>49</v>
      </c>
      <c r="D413" t="s">
        <v>51</v>
      </c>
      <c r="E413" t="s">
        <v>51</v>
      </c>
      <c r="F413" t="s">
        <v>51</v>
      </c>
      <c r="G413" t="s">
        <v>52</v>
      </c>
      <c r="H413" t="s">
        <v>52</v>
      </c>
      <c r="I413" t="s">
        <v>52</v>
      </c>
      <c r="J413" t="s">
        <v>590</v>
      </c>
      <c r="K413" t="s">
        <v>52</v>
      </c>
      <c r="L413" t="s">
        <v>655</v>
      </c>
      <c r="M413" t="s">
        <v>654</v>
      </c>
      <c r="N413" t="s">
        <v>163</v>
      </c>
      <c r="O413" t="s">
        <v>131</v>
      </c>
      <c r="P413" t="s">
        <v>131</v>
      </c>
      <c r="Q413" t="s">
        <v>51</v>
      </c>
      <c r="R413" t="s">
        <v>51</v>
      </c>
      <c r="S413" t="s">
        <v>51</v>
      </c>
      <c r="T413" t="s">
        <v>51</v>
      </c>
    </row>
    <row r="414" spans="1:20">
      <c r="A414" t="s">
        <v>619</v>
      </c>
      <c r="B414" t="s">
        <v>91</v>
      </c>
      <c r="C414" t="s">
        <v>49</v>
      </c>
      <c r="D414" t="s">
        <v>51</v>
      </c>
      <c r="E414" t="s">
        <v>51</v>
      </c>
      <c r="F414" t="s">
        <v>51</v>
      </c>
      <c r="G414" t="s">
        <v>52</v>
      </c>
      <c r="H414" t="s">
        <v>52</v>
      </c>
      <c r="I414" t="s">
        <v>52</v>
      </c>
      <c r="J414" t="s">
        <v>590</v>
      </c>
      <c r="K414" t="s">
        <v>52</v>
      </c>
      <c r="L414" t="s">
        <v>655</v>
      </c>
      <c r="M414" t="s">
        <v>654</v>
      </c>
      <c r="N414" t="s">
        <v>163</v>
      </c>
      <c r="O414" t="s">
        <v>131</v>
      </c>
      <c r="P414" t="s">
        <v>131</v>
      </c>
      <c r="Q414" t="s">
        <v>51</v>
      </c>
      <c r="R414" t="s">
        <v>51</v>
      </c>
      <c r="S414" t="s">
        <v>51</v>
      </c>
      <c r="T414" t="s">
        <v>51</v>
      </c>
    </row>
    <row r="415" spans="1:20">
      <c r="A415" t="s">
        <v>620</v>
      </c>
      <c r="B415" t="s">
        <v>93</v>
      </c>
      <c r="C415" t="s">
        <v>49</v>
      </c>
      <c r="D415" t="s">
        <v>51</v>
      </c>
      <c r="E415" t="s">
        <v>51</v>
      </c>
      <c r="F415" t="s">
        <v>51</v>
      </c>
      <c r="G415" t="s">
        <v>52</v>
      </c>
      <c r="H415" t="s">
        <v>52</v>
      </c>
      <c r="I415" t="s">
        <v>52</v>
      </c>
      <c r="J415" t="s">
        <v>590</v>
      </c>
      <c r="K415" t="s">
        <v>52</v>
      </c>
      <c r="L415" t="s">
        <v>655</v>
      </c>
      <c r="M415" t="s">
        <v>654</v>
      </c>
      <c r="N415" t="s">
        <v>163</v>
      </c>
      <c r="O415" t="s">
        <v>131</v>
      </c>
      <c r="P415" t="s">
        <v>131</v>
      </c>
      <c r="Q415" t="s">
        <v>51</v>
      </c>
      <c r="R415" t="s">
        <v>51</v>
      </c>
      <c r="S415" t="s">
        <v>51</v>
      </c>
      <c r="T415" t="s">
        <v>51</v>
      </c>
    </row>
    <row r="416" spans="1:20">
      <c r="A416" t="s">
        <v>621</v>
      </c>
      <c r="B416" t="s">
        <v>95</v>
      </c>
      <c r="C416" t="s">
        <v>49</v>
      </c>
      <c r="D416" t="s">
        <v>51</v>
      </c>
      <c r="E416" t="s">
        <v>51</v>
      </c>
      <c r="F416" t="s">
        <v>51</v>
      </c>
      <c r="G416" t="s">
        <v>52</v>
      </c>
      <c r="H416" t="s">
        <v>52</v>
      </c>
      <c r="I416" t="s">
        <v>52</v>
      </c>
      <c r="J416" t="s">
        <v>590</v>
      </c>
      <c r="K416" t="s">
        <v>52</v>
      </c>
      <c r="L416" t="s">
        <v>655</v>
      </c>
      <c r="M416" t="s">
        <v>654</v>
      </c>
      <c r="N416" t="s">
        <v>163</v>
      </c>
      <c r="O416" t="s">
        <v>131</v>
      </c>
      <c r="P416" t="s">
        <v>131</v>
      </c>
      <c r="Q416" t="s">
        <v>51</v>
      </c>
      <c r="R416" t="s">
        <v>51</v>
      </c>
      <c r="S416" t="s">
        <v>51</v>
      </c>
      <c r="T416" t="s">
        <v>51</v>
      </c>
    </row>
    <row r="417" spans="1:20">
      <c r="A417" t="s">
        <v>622</v>
      </c>
      <c r="B417" t="s">
        <v>97</v>
      </c>
      <c r="C417" t="s">
        <v>49</v>
      </c>
      <c r="D417" t="s">
        <v>51</v>
      </c>
      <c r="E417" t="s">
        <v>51</v>
      </c>
      <c r="F417" t="s">
        <v>51</v>
      </c>
      <c r="G417" t="s">
        <v>52</v>
      </c>
      <c r="H417" t="s">
        <v>52</v>
      </c>
      <c r="I417" t="s">
        <v>52</v>
      </c>
      <c r="J417" t="s">
        <v>590</v>
      </c>
      <c r="K417" t="s">
        <v>52</v>
      </c>
      <c r="L417" t="s">
        <v>655</v>
      </c>
      <c r="M417" t="s">
        <v>654</v>
      </c>
      <c r="N417" t="s">
        <v>163</v>
      </c>
      <c r="O417" t="s">
        <v>131</v>
      </c>
      <c r="P417" t="s">
        <v>131</v>
      </c>
      <c r="Q417" t="s">
        <v>51</v>
      </c>
      <c r="R417" t="s">
        <v>51</v>
      </c>
      <c r="S417" t="s">
        <v>51</v>
      </c>
      <c r="T417" t="s">
        <v>51</v>
      </c>
    </row>
    <row r="418" spans="1:20">
      <c r="A418" t="s">
        <v>623</v>
      </c>
      <c r="B418" t="s">
        <v>99</v>
      </c>
      <c r="C418" t="s">
        <v>49</v>
      </c>
      <c r="D418" t="s">
        <v>51</v>
      </c>
      <c r="E418" t="s">
        <v>51</v>
      </c>
      <c r="F418" t="s">
        <v>51</v>
      </c>
      <c r="G418" t="s">
        <v>52</v>
      </c>
      <c r="H418" t="s">
        <v>52</v>
      </c>
      <c r="I418" t="s">
        <v>52</v>
      </c>
      <c r="J418" t="s">
        <v>590</v>
      </c>
      <c r="K418" t="s">
        <v>52</v>
      </c>
      <c r="L418" t="s">
        <v>655</v>
      </c>
      <c r="M418" t="s">
        <v>654</v>
      </c>
      <c r="N418" t="s">
        <v>163</v>
      </c>
      <c r="O418" t="s">
        <v>131</v>
      </c>
      <c r="P418" t="s">
        <v>131</v>
      </c>
      <c r="Q418" t="s">
        <v>51</v>
      </c>
      <c r="R418" t="s">
        <v>51</v>
      </c>
      <c r="S418" t="s">
        <v>51</v>
      </c>
      <c r="T418" t="s">
        <v>51</v>
      </c>
    </row>
    <row r="419" spans="1:20">
      <c r="A419" t="s">
        <v>624</v>
      </c>
      <c r="B419" t="s">
        <v>101</v>
      </c>
      <c r="C419" t="s">
        <v>49</v>
      </c>
      <c r="D419" t="s">
        <v>51</v>
      </c>
      <c r="E419" t="s">
        <v>51</v>
      </c>
      <c r="F419" t="s">
        <v>51</v>
      </c>
      <c r="G419" t="s">
        <v>52</v>
      </c>
      <c r="H419" t="s">
        <v>52</v>
      </c>
      <c r="I419" t="s">
        <v>52</v>
      </c>
      <c r="J419" t="s">
        <v>590</v>
      </c>
      <c r="K419" t="s">
        <v>52</v>
      </c>
      <c r="L419" t="s">
        <v>655</v>
      </c>
      <c r="M419" t="s">
        <v>654</v>
      </c>
      <c r="N419" t="s">
        <v>163</v>
      </c>
      <c r="O419" t="s">
        <v>131</v>
      </c>
      <c r="P419" t="s">
        <v>131</v>
      </c>
      <c r="Q419" t="s">
        <v>51</v>
      </c>
      <c r="R419" t="s">
        <v>51</v>
      </c>
      <c r="S419" t="s">
        <v>51</v>
      </c>
      <c r="T419" t="s">
        <v>51</v>
      </c>
    </row>
    <row r="420" spans="1:20">
      <c r="A420" t="s">
        <v>625</v>
      </c>
      <c r="B420" t="s">
        <v>103</v>
      </c>
      <c r="C420" t="s">
        <v>49</v>
      </c>
      <c r="D420" t="s">
        <v>51</v>
      </c>
      <c r="E420" t="s">
        <v>51</v>
      </c>
      <c r="F420" t="s">
        <v>51</v>
      </c>
      <c r="G420" t="s">
        <v>52</v>
      </c>
      <c r="H420" t="s">
        <v>52</v>
      </c>
      <c r="I420" t="s">
        <v>52</v>
      </c>
      <c r="J420" t="s">
        <v>590</v>
      </c>
      <c r="K420" t="s">
        <v>52</v>
      </c>
      <c r="L420" t="s">
        <v>655</v>
      </c>
      <c r="M420" t="s">
        <v>654</v>
      </c>
      <c r="N420" t="s">
        <v>163</v>
      </c>
      <c r="O420" t="s">
        <v>131</v>
      </c>
      <c r="P420" t="s">
        <v>131</v>
      </c>
      <c r="Q420" t="s">
        <v>51</v>
      </c>
      <c r="R420" t="s">
        <v>51</v>
      </c>
      <c r="S420" t="s">
        <v>51</v>
      </c>
      <c r="T420" t="s">
        <v>51</v>
      </c>
    </row>
    <row r="421" spans="1:20">
      <c r="A421" t="s">
        <v>626</v>
      </c>
      <c r="B421" t="s">
        <v>105</v>
      </c>
      <c r="C421" t="s">
        <v>49</v>
      </c>
      <c r="D421" t="s">
        <v>51</v>
      </c>
      <c r="E421" t="s">
        <v>51</v>
      </c>
      <c r="F421" t="s">
        <v>51</v>
      </c>
      <c r="G421" t="s">
        <v>52</v>
      </c>
      <c r="H421" t="s">
        <v>52</v>
      </c>
      <c r="I421" t="s">
        <v>52</v>
      </c>
      <c r="J421" t="s">
        <v>590</v>
      </c>
      <c r="K421" t="s">
        <v>52</v>
      </c>
      <c r="L421" t="s">
        <v>655</v>
      </c>
      <c r="M421" t="s">
        <v>654</v>
      </c>
      <c r="N421" t="s">
        <v>163</v>
      </c>
      <c r="O421" t="s">
        <v>131</v>
      </c>
      <c r="P421" t="s">
        <v>131</v>
      </c>
      <c r="Q421" t="s">
        <v>51</v>
      </c>
      <c r="R421" t="s">
        <v>51</v>
      </c>
      <c r="S421" t="s">
        <v>51</v>
      </c>
      <c r="T421" t="s">
        <v>51</v>
      </c>
    </row>
    <row r="422" spans="1:20">
      <c r="A422" t="s">
        <v>627</v>
      </c>
      <c r="B422" t="s">
        <v>107</v>
      </c>
      <c r="C422" t="s">
        <v>49</v>
      </c>
      <c r="D422" t="s">
        <v>51</v>
      </c>
      <c r="E422" t="s">
        <v>51</v>
      </c>
      <c r="F422" t="s">
        <v>51</v>
      </c>
      <c r="G422" t="s">
        <v>52</v>
      </c>
      <c r="H422" t="s">
        <v>52</v>
      </c>
      <c r="I422" t="s">
        <v>52</v>
      </c>
      <c r="J422" t="s">
        <v>590</v>
      </c>
      <c r="K422" t="s">
        <v>52</v>
      </c>
      <c r="L422" t="s">
        <v>655</v>
      </c>
      <c r="M422" t="s">
        <v>654</v>
      </c>
      <c r="N422" t="s">
        <v>163</v>
      </c>
      <c r="O422" t="s">
        <v>131</v>
      </c>
      <c r="P422" t="s">
        <v>131</v>
      </c>
      <c r="Q422" t="s">
        <v>51</v>
      </c>
      <c r="R422" t="s">
        <v>51</v>
      </c>
      <c r="S422" t="s">
        <v>51</v>
      </c>
      <c r="T422" t="s">
        <v>51</v>
      </c>
    </row>
    <row r="423" spans="1:20">
      <c r="A423" t="s">
        <v>628</v>
      </c>
      <c r="B423" t="s">
        <v>109</v>
      </c>
      <c r="C423" t="s">
        <v>49</v>
      </c>
      <c r="D423" t="s">
        <v>51</v>
      </c>
      <c r="E423" t="s">
        <v>51</v>
      </c>
      <c r="F423" t="s">
        <v>51</v>
      </c>
      <c r="G423" t="s">
        <v>52</v>
      </c>
      <c r="H423" t="s">
        <v>52</v>
      </c>
      <c r="I423" t="s">
        <v>52</v>
      </c>
      <c r="J423" t="s">
        <v>590</v>
      </c>
      <c r="K423" t="s">
        <v>52</v>
      </c>
      <c r="L423" t="s">
        <v>655</v>
      </c>
      <c r="M423" t="s">
        <v>654</v>
      </c>
      <c r="N423" t="s">
        <v>163</v>
      </c>
      <c r="O423" t="s">
        <v>131</v>
      </c>
      <c r="P423" t="s">
        <v>131</v>
      </c>
      <c r="Q423" t="s">
        <v>51</v>
      </c>
      <c r="R423" t="s">
        <v>51</v>
      </c>
      <c r="S423" t="s">
        <v>51</v>
      </c>
      <c r="T423" t="s">
        <v>51</v>
      </c>
    </row>
    <row r="424" spans="1:20">
      <c r="A424" t="s">
        <v>629</v>
      </c>
      <c r="B424" t="s">
        <v>111</v>
      </c>
      <c r="C424" t="s">
        <v>49</v>
      </c>
      <c r="D424" t="s">
        <v>51</v>
      </c>
      <c r="E424" t="s">
        <v>51</v>
      </c>
      <c r="F424" t="s">
        <v>51</v>
      </c>
      <c r="G424" t="s">
        <v>52</v>
      </c>
      <c r="H424" t="s">
        <v>52</v>
      </c>
      <c r="I424" t="s">
        <v>52</v>
      </c>
      <c r="J424" t="s">
        <v>590</v>
      </c>
      <c r="K424" t="s">
        <v>52</v>
      </c>
      <c r="L424" t="s">
        <v>655</v>
      </c>
      <c r="M424" t="s">
        <v>654</v>
      </c>
      <c r="N424" t="s">
        <v>163</v>
      </c>
      <c r="O424" t="s">
        <v>131</v>
      </c>
      <c r="P424" t="s">
        <v>131</v>
      </c>
      <c r="Q424" t="s">
        <v>51</v>
      </c>
      <c r="R424" t="s">
        <v>51</v>
      </c>
      <c r="S424" t="s">
        <v>51</v>
      </c>
      <c r="T424" t="s">
        <v>51</v>
      </c>
    </row>
    <row r="425" spans="1:20">
      <c r="A425" t="s">
        <v>630</v>
      </c>
      <c r="B425" t="s">
        <v>113</v>
      </c>
      <c r="C425" t="s">
        <v>49</v>
      </c>
      <c r="D425" t="s">
        <v>51</v>
      </c>
      <c r="E425" t="s">
        <v>51</v>
      </c>
      <c r="F425" t="s">
        <v>51</v>
      </c>
      <c r="G425" t="s">
        <v>52</v>
      </c>
      <c r="H425" t="s">
        <v>52</v>
      </c>
      <c r="I425" t="s">
        <v>52</v>
      </c>
      <c r="J425" t="s">
        <v>590</v>
      </c>
      <c r="K425" t="s">
        <v>52</v>
      </c>
      <c r="L425" t="s">
        <v>655</v>
      </c>
      <c r="M425" t="s">
        <v>654</v>
      </c>
      <c r="N425" t="s">
        <v>163</v>
      </c>
      <c r="O425" t="s">
        <v>131</v>
      </c>
      <c r="P425" t="s">
        <v>131</v>
      </c>
      <c r="Q425" t="s">
        <v>51</v>
      </c>
      <c r="R425" t="s">
        <v>51</v>
      </c>
      <c r="S425" t="s">
        <v>51</v>
      </c>
      <c r="T425" t="s">
        <v>51</v>
      </c>
    </row>
    <row r="426" spans="1:20">
      <c r="A426" t="s">
        <v>631</v>
      </c>
      <c r="B426" t="s">
        <v>115</v>
      </c>
      <c r="C426" t="s">
        <v>49</v>
      </c>
      <c r="D426" t="s">
        <v>51</v>
      </c>
      <c r="E426" t="s">
        <v>51</v>
      </c>
      <c r="F426" t="s">
        <v>51</v>
      </c>
      <c r="G426" t="s">
        <v>52</v>
      </c>
      <c r="H426" t="s">
        <v>52</v>
      </c>
      <c r="I426" t="s">
        <v>52</v>
      </c>
      <c r="J426" t="s">
        <v>590</v>
      </c>
      <c r="K426" t="s">
        <v>52</v>
      </c>
      <c r="L426" t="s">
        <v>655</v>
      </c>
      <c r="M426" t="s">
        <v>654</v>
      </c>
      <c r="N426" t="s">
        <v>163</v>
      </c>
      <c r="O426" t="s">
        <v>131</v>
      </c>
      <c r="P426" t="s">
        <v>131</v>
      </c>
      <c r="Q426" t="s">
        <v>51</v>
      </c>
      <c r="R426" t="s">
        <v>51</v>
      </c>
      <c r="S426" t="s">
        <v>51</v>
      </c>
      <c r="T426" t="s">
        <v>51</v>
      </c>
    </row>
    <row r="427" spans="1:20">
      <c r="A427" t="s">
        <v>632</v>
      </c>
      <c r="B427" t="s">
        <v>117</v>
      </c>
      <c r="C427" t="s">
        <v>49</v>
      </c>
      <c r="D427" t="s">
        <v>51</v>
      </c>
      <c r="E427" t="s">
        <v>51</v>
      </c>
      <c r="F427" t="s">
        <v>51</v>
      </c>
      <c r="G427" t="s">
        <v>52</v>
      </c>
      <c r="H427" t="s">
        <v>52</v>
      </c>
      <c r="I427" t="s">
        <v>52</v>
      </c>
      <c r="J427" t="s">
        <v>590</v>
      </c>
      <c r="K427" t="s">
        <v>52</v>
      </c>
      <c r="L427" t="s">
        <v>655</v>
      </c>
      <c r="M427" t="s">
        <v>654</v>
      </c>
      <c r="N427" t="s">
        <v>163</v>
      </c>
      <c r="O427" t="s">
        <v>131</v>
      </c>
      <c r="P427" t="s">
        <v>131</v>
      </c>
      <c r="Q427" t="s">
        <v>51</v>
      </c>
      <c r="R427" t="s">
        <v>51</v>
      </c>
      <c r="S427" t="s">
        <v>51</v>
      </c>
      <c r="T427" t="s">
        <v>51</v>
      </c>
    </row>
    <row r="428" spans="1:20">
      <c r="A428" t="s">
        <v>633</v>
      </c>
      <c r="B428" t="s">
        <v>119</v>
      </c>
      <c r="C428" t="s">
        <v>49</v>
      </c>
      <c r="D428" t="s">
        <v>51</v>
      </c>
      <c r="E428" t="s">
        <v>51</v>
      </c>
      <c r="F428" t="s">
        <v>51</v>
      </c>
      <c r="G428" t="s">
        <v>52</v>
      </c>
      <c r="H428" t="s">
        <v>52</v>
      </c>
      <c r="I428" t="s">
        <v>52</v>
      </c>
      <c r="J428" t="s">
        <v>590</v>
      </c>
      <c r="K428" t="s">
        <v>52</v>
      </c>
      <c r="L428" t="s">
        <v>655</v>
      </c>
      <c r="M428" t="s">
        <v>654</v>
      </c>
      <c r="N428" t="s">
        <v>163</v>
      </c>
      <c r="O428" t="s">
        <v>131</v>
      </c>
      <c r="P428" t="s">
        <v>131</v>
      </c>
      <c r="Q428" t="s">
        <v>51</v>
      </c>
      <c r="R428" t="s">
        <v>51</v>
      </c>
      <c r="S428" t="s">
        <v>51</v>
      </c>
      <c r="T428" t="s">
        <v>51</v>
      </c>
    </row>
    <row r="429" spans="1:20">
      <c r="A429" t="s">
        <v>634</v>
      </c>
      <c r="B429" t="s">
        <v>121</v>
      </c>
      <c r="C429" t="s">
        <v>49</v>
      </c>
      <c r="D429" t="s">
        <v>51</v>
      </c>
      <c r="E429" t="s">
        <v>51</v>
      </c>
      <c r="F429" t="s">
        <v>51</v>
      </c>
      <c r="G429" t="s">
        <v>52</v>
      </c>
      <c r="H429" t="s">
        <v>52</v>
      </c>
      <c r="I429" t="s">
        <v>52</v>
      </c>
      <c r="J429" t="s">
        <v>590</v>
      </c>
      <c r="K429" t="s">
        <v>52</v>
      </c>
      <c r="L429" t="s">
        <v>655</v>
      </c>
      <c r="M429" t="s">
        <v>654</v>
      </c>
      <c r="N429" t="s">
        <v>163</v>
      </c>
      <c r="O429" t="s">
        <v>131</v>
      </c>
      <c r="P429" t="s">
        <v>131</v>
      </c>
      <c r="Q429" t="s">
        <v>51</v>
      </c>
      <c r="R429" t="s">
        <v>51</v>
      </c>
      <c r="S429" t="s">
        <v>51</v>
      </c>
      <c r="T429" t="s">
        <v>51</v>
      </c>
    </row>
    <row r="430" spans="1:20">
      <c r="A430" t="s">
        <v>635</v>
      </c>
      <c r="B430" t="s">
        <v>123</v>
      </c>
      <c r="C430" t="s">
        <v>49</v>
      </c>
      <c r="D430" t="s">
        <v>51</v>
      </c>
      <c r="E430" t="s">
        <v>51</v>
      </c>
      <c r="F430" t="s">
        <v>51</v>
      </c>
      <c r="G430" t="s">
        <v>52</v>
      </c>
      <c r="H430" t="s">
        <v>52</v>
      </c>
      <c r="I430" t="s">
        <v>52</v>
      </c>
      <c r="J430" t="s">
        <v>590</v>
      </c>
      <c r="K430" t="s">
        <v>52</v>
      </c>
      <c r="L430" t="s">
        <v>655</v>
      </c>
      <c r="M430" t="s">
        <v>654</v>
      </c>
      <c r="N430" t="s">
        <v>163</v>
      </c>
      <c r="O430" t="s">
        <v>131</v>
      </c>
      <c r="P430" t="s">
        <v>131</v>
      </c>
      <c r="Q430" t="s">
        <v>51</v>
      </c>
      <c r="R430" t="s">
        <v>51</v>
      </c>
      <c r="S430" t="s">
        <v>51</v>
      </c>
      <c r="T430" t="s">
        <v>51</v>
      </c>
    </row>
    <row r="431" spans="1:20">
      <c r="A431" t="s">
        <v>636</v>
      </c>
      <c r="B431" t="s">
        <v>125</v>
      </c>
      <c r="C431" t="s">
        <v>49</v>
      </c>
      <c r="D431" t="s">
        <v>51</v>
      </c>
      <c r="E431" t="s">
        <v>51</v>
      </c>
      <c r="F431" t="s">
        <v>51</v>
      </c>
      <c r="G431" t="s">
        <v>52</v>
      </c>
      <c r="H431" t="s">
        <v>52</v>
      </c>
      <c r="I431" t="s">
        <v>52</v>
      </c>
      <c r="J431" t="s">
        <v>590</v>
      </c>
      <c r="K431" t="s">
        <v>52</v>
      </c>
      <c r="L431" t="s">
        <v>655</v>
      </c>
      <c r="M431" t="s">
        <v>654</v>
      </c>
      <c r="N431" t="s">
        <v>163</v>
      </c>
      <c r="O431" t="s">
        <v>131</v>
      </c>
      <c r="P431" t="s">
        <v>131</v>
      </c>
      <c r="Q431" t="s">
        <v>51</v>
      </c>
      <c r="R431" t="s">
        <v>51</v>
      </c>
      <c r="S431" t="s">
        <v>51</v>
      </c>
      <c r="T431" t="s">
        <v>51</v>
      </c>
    </row>
    <row r="432" spans="1:20">
      <c r="A432" t="s">
        <v>637</v>
      </c>
      <c r="B432" t="s">
        <v>127</v>
      </c>
      <c r="C432" t="s">
        <v>49</v>
      </c>
      <c r="D432" t="s">
        <v>51</v>
      </c>
      <c r="E432" t="s">
        <v>51</v>
      </c>
      <c r="F432" t="s">
        <v>51</v>
      </c>
      <c r="G432" t="s">
        <v>52</v>
      </c>
      <c r="H432" t="s">
        <v>52</v>
      </c>
      <c r="I432" t="s">
        <v>52</v>
      </c>
      <c r="J432" t="s">
        <v>590</v>
      </c>
      <c r="K432" t="s">
        <v>52</v>
      </c>
      <c r="L432" t="s">
        <v>655</v>
      </c>
      <c r="M432" t="s">
        <v>654</v>
      </c>
      <c r="N432" t="s">
        <v>163</v>
      </c>
      <c r="O432" t="s">
        <v>131</v>
      </c>
      <c r="P432" t="s">
        <v>131</v>
      </c>
      <c r="Q432" t="s">
        <v>51</v>
      </c>
      <c r="R432" t="s">
        <v>51</v>
      </c>
      <c r="S432" t="s">
        <v>51</v>
      </c>
      <c r="T432" t="s">
        <v>51</v>
      </c>
    </row>
    <row r="433" spans="1:20">
      <c r="A433" t="s">
        <v>638</v>
      </c>
      <c r="B433" t="s">
        <v>129</v>
      </c>
      <c r="C433" t="s">
        <v>49</v>
      </c>
      <c r="D433" t="s">
        <v>51</v>
      </c>
      <c r="E433" t="s">
        <v>51</v>
      </c>
      <c r="F433" t="s">
        <v>51</v>
      </c>
      <c r="G433" t="s">
        <v>52</v>
      </c>
      <c r="H433" t="s">
        <v>52</v>
      </c>
      <c r="I433" t="s">
        <v>52</v>
      </c>
      <c r="J433" t="s">
        <v>590</v>
      </c>
      <c r="K433" t="s">
        <v>52</v>
      </c>
      <c r="L433" t="s">
        <v>655</v>
      </c>
      <c r="M433" t="s">
        <v>654</v>
      </c>
      <c r="N433" t="s">
        <v>163</v>
      </c>
      <c r="O433" t="s">
        <v>131</v>
      </c>
      <c r="P433" t="s">
        <v>131</v>
      </c>
      <c r="Q433" t="s">
        <v>51</v>
      </c>
      <c r="R433" t="s">
        <v>51</v>
      </c>
      <c r="S433" t="s">
        <v>51</v>
      </c>
      <c r="T433" t="s">
        <v>51</v>
      </c>
    </row>
    <row r="434" spans="1:20">
      <c r="A434" t="s">
        <v>639</v>
      </c>
      <c r="B434" t="s">
        <v>131</v>
      </c>
      <c r="C434" t="s">
        <v>49</v>
      </c>
      <c r="D434" t="s">
        <v>51</v>
      </c>
      <c r="E434" t="s">
        <v>51</v>
      </c>
      <c r="F434" t="s">
        <v>51</v>
      </c>
      <c r="G434" t="s">
        <v>52</v>
      </c>
      <c r="H434" t="s">
        <v>52</v>
      </c>
      <c r="I434" t="s">
        <v>52</v>
      </c>
      <c r="J434" t="s">
        <v>590</v>
      </c>
      <c r="K434" t="s">
        <v>52</v>
      </c>
      <c r="L434" t="s">
        <v>655</v>
      </c>
      <c r="M434" t="s">
        <v>654</v>
      </c>
      <c r="N434" t="s">
        <v>163</v>
      </c>
      <c r="O434" t="s">
        <v>131</v>
      </c>
      <c r="P434" t="s">
        <v>131</v>
      </c>
      <c r="Q434" t="s">
        <v>51</v>
      </c>
      <c r="R434" t="s">
        <v>51</v>
      </c>
      <c r="S434" t="s">
        <v>51</v>
      </c>
      <c r="T434" t="s">
        <v>51</v>
      </c>
    </row>
    <row r="435" spans="1:20">
      <c r="A435" t="s">
        <v>640</v>
      </c>
      <c r="B435" t="s">
        <v>133</v>
      </c>
      <c r="C435" t="s">
        <v>49</v>
      </c>
      <c r="D435" t="s">
        <v>51</v>
      </c>
      <c r="E435" t="s">
        <v>51</v>
      </c>
      <c r="F435" t="s">
        <v>51</v>
      </c>
      <c r="G435" t="s">
        <v>52</v>
      </c>
      <c r="H435" t="s">
        <v>52</v>
      </c>
      <c r="I435" t="s">
        <v>52</v>
      </c>
      <c r="J435" t="s">
        <v>590</v>
      </c>
      <c r="K435" t="s">
        <v>52</v>
      </c>
      <c r="L435" t="s">
        <v>655</v>
      </c>
      <c r="M435" t="s">
        <v>654</v>
      </c>
      <c r="N435" t="s">
        <v>163</v>
      </c>
      <c r="O435" t="s">
        <v>131</v>
      </c>
      <c r="P435" t="s">
        <v>131</v>
      </c>
      <c r="Q435" t="s">
        <v>51</v>
      </c>
      <c r="R435" t="s">
        <v>51</v>
      </c>
      <c r="S435" t="s">
        <v>51</v>
      </c>
      <c r="T435" t="s">
        <v>51</v>
      </c>
    </row>
    <row r="436" spans="1:20">
      <c r="A436" t="s">
        <v>641</v>
      </c>
      <c r="B436" t="s">
        <v>135</v>
      </c>
      <c r="C436" t="s">
        <v>49</v>
      </c>
      <c r="D436" t="s">
        <v>51</v>
      </c>
      <c r="E436" t="s">
        <v>51</v>
      </c>
      <c r="F436" t="s">
        <v>51</v>
      </c>
      <c r="G436" t="s">
        <v>52</v>
      </c>
      <c r="H436" t="s">
        <v>52</v>
      </c>
      <c r="I436" t="s">
        <v>52</v>
      </c>
      <c r="J436" t="s">
        <v>590</v>
      </c>
      <c r="K436" t="s">
        <v>52</v>
      </c>
      <c r="L436" t="s">
        <v>655</v>
      </c>
      <c r="M436" t="s">
        <v>654</v>
      </c>
      <c r="N436" t="s">
        <v>163</v>
      </c>
      <c r="O436" t="s">
        <v>131</v>
      </c>
      <c r="P436" t="s">
        <v>131</v>
      </c>
      <c r="Q436" t="s">
        <v>51</v>
      </c>
      <c r="R436" t="s">
        <v>51</v>
      </c>
      <c r="S436" t="s">
        <v>51</v>
      </c>
      <c r="T436" t="s">
        <v>51</v>
      </c>
    </row>
    <row r="437" spans="1:20">
      <c r="A437" t="s">
        <v>642</v>
      </c>
      <c r="B437" t="s">
        <v>137</v>
      </c>
      <c r="C437" t="s">
        <v>49</v>
      </c>
      <c r="D437" t="s">
        <v>51</v>
      </c>
      <c r="E437" t="s">
        <v>51</v>
      </c>
      <c r="F437" t="s">
        <v>51</v>
      </c>
      <c r="G437" t="s">
        <v>52</v>
      </c>
      <c r="H437" t="s">
        <v>52</v>
      </c>
      <c r="I437" t="s">
        <v>52</v>
      </c>
      <c r="J437" t="s">
        <v>590</v>
      </c>
      <c r="K437" t="s">
        <v>52</v>
      </c>
      <c r="L437" t="s">
        <v>655</v>
      </c>
      <c r="M437" t="s">
        <v>654</v>
      </c>
      <c r="N437" t="s">
        <v>163</v>
      </c>
      <c r="O437" t="s">
        <v>131</v>
      </c>
      <c r="P437" t="s">
        <v>131</v>
      </c>
      <c r="Q437" t="s">
        <v>51</v>
      </c>
      <c r="R437" t="s">
        <v>51</v>
      </c>
      <c r="S437" t="s">
        <v>51</v>
      </c>
      <c r="T437" t="s">
        <v>51</v>
      </c>
    </row>
    <row r="438" spans="1:20">
      <c r="A438" t="s">
        <v>643</v>
      </c>
      <c r="B438" t="s">
        <v>139</v>
      </c>
      <c r="C438" t="s">
        <v>49</v>
      </c>
      <c r="D438" t="s">
        <v>51</v>
      </c>
      <c r="E438" t="s">
        <v>51</v>
      </c>
      <c r="F438" t="s">
        <v>51</v>
      </c>
      <c r="G438" t="s">
        <v>52</v>
      </c>
      <c r="H438" t="s">
        <v>52</v>
      </c>
      <c r="I438" t="s">
        <v>52</v>
      </c>
      <c r="J438" t="s">
        <v>590</v>
      </c>
      <c r="K438" t="s">
        <v>52</v>
      </c>
      <c r="L438" t="s">
        <v>655</v>
      </c>
      <c r="M438" t="s">
        <v>654</v>
      </c>
      <c r="N438" t="s">
        <v>163</v>
      </c>
      <c r="O438" t="s">
        <v>131</v>
      </c>
      <c r="P438" t="s">
        <v>131</v>
      </c>
      <c r="Q438" t="s">
        <v>51</v>
      </c>
      <c r="R438" t="s">
        <v>51</v>
      </c>
      <c r="S438" t="s">
        <v>51</v>
      </c>
      <c r="T438" t="s">
        <v>51</v>
      </c>
    </row>
    <row r="439" spans="1:20">
      <c r="A439" t="s">
        <v>644</v>
      </c>
      <c r="B439" t="s">
        <v>141</v>
      </c>
      <c r="C439" t="s">
        <v>49</v>
      </c>
      <c r="D439" t="s">
        <v>51</v>
      </c>
      <c r="E439" t="s">
        <v>51</v>
      </c>
      <c r="F439" t="s">
        <v>51</v>
      </c>
      <c r="G439" t="s">
        <v>52</v>
      </c>
      <c r="H439" t="s">
        <v>52</v>
      </c>
      <c r="I439" t="s">
        <v>52</v>
      </c>
      <c r="J439" t="s">
        <v>590</v>
      </c>
      <c r="K439" t="s">
        <v>52</v>
      </c>
      <c r="L439" t="s">
        <v>655</v>
      </c>
      <c r="M439" t="s">
        <v>654</v>
      </c>
      <c r="N439" t="s">
        <v>163</v>
      </c>
      <c r="O439" t="s">
        <v>131</v>
      </c>
      <c r="P439" t="s">
        <v>131</v>
      </c>
      <c r="Q439" t="s">
        <v>51</v>
      </c>
      <c r="R439" t="s">
        <v>51</v>
      </c>
      <c r="S439" t="s">
        <v>51</v>
      </c>
      <c r="T439" t="s">
        <v>51</v>
      </c>
    </row>
    <row r="440" spans="1:20">
      <c r="A440" t="s">
        <v>645</v>
      </c>
      <c r="B440" t="s">
        <v>143</v>
      </c>
      <c r="C440" t="s">
        <v>49</v>
      </c>
      <c r="D440" t="s">
        <v>51</v>
      </c>
      <c r="E440" t="s">
        <v>51</v>
      </c>
      <c r="F440" t="s">
        <v>51</v>
      </c>
      <c r="G440" t="s">
        <v>52</v>
      </c>
      <c r="H440" t="s">
        <v>52</v>
      </c>
      <c r="I440" t="s">
        <v>52</v>
      </c>
      <c r="J440" t="s">
        <v>590</v>
      </c>
      <c r="K440" t="s">
        <v>52</v>
      </c>
      <c r="L440" t="s">
        <v>655</v>
      </c>
      <c r="M440" t="s">
        <v>654</v>
      </c>
      <c r="N440" t="s">
        <v>163</v>
      </c>
      <c r="O440" t="s">
        <v>131</v>
      </c>
      <c r="P440" t="s">
        <v>131</v>
      </c>
      <c r="Q440" t="s">
        <v>51</v>
      </c>
      <c r="R440" t="s">
        <v>51</v>
      </c>
      <c r="S440" t="s">
        <v>51</v>
      </c>
      <c r="T440" t="s">
        <v>51</v>
      </c>
    </row>
    <row r="441" spans="1:20">
      <c r="A441" t="s">
        <v>646</v>
      </c>
      <c r="B441" t="s">
        <v>145</v>
      </c>
      <c r="C441" t="s">
        <v>49</v>
      </c>
      <c r="D441" t="s">
        <v>51</v>
      </c>
      <c r="E441" t="s">
        <v>51</v>
      </c>
      <c r="F441" t="s">
        <v>51</v>
      </c>
      <c r="G441" t="s">
        <v>52</v>
      </c>
      <c r="H441" t="s">
        <v>52</v>
      </c>
      <c r="I441" t="s">
        <v>52</v>
      </c>
      <c r="J441" t="s">
        <v>590</v>
      </c>
      <c r="K441" t="s">
        <v>52</v>
      </c>
      <c r="L441" t="s">
        <v>655</v>
      </c>
      <c r="M441" t="s">
        <v>654</v>
      </c>
      <c r="N441" t="s">
        <v>163</v>
      </c>
      <c r="O441" t="s">
        <v>131</v>
      </c>
      <c r="P441" t="s">
        <v>131</v>
      </c>
      <c r="Q441" t="s">
        <v>51</v>
      </c>
      <c r="R441" t="s">
        <v>51</v>
      </c>
      <c r="S441" t="s">
        <v>51</v>
      </c>
      <c r="T441" t="s">
        <v>51</v>
      </c>
    </row>
    <row r="442" spans="1:20">
      <c r="A442" t="s">
        <v>647</v>
      </c>
      <c r="B442" t="s">
        <v>147</v>
      </c>
      <c r="C442" t="s">
        <v>49</v>
      </c>
      <c r="D442" t="s">
        <v>51</v>
      </c>
      <c r="E442" t="s">
        <v>51</v>
      </c>
      <c r="F442" t="s">
        <v>51</v>
      </c>
      <c r="G442" t="s">
        <v>52</v>
      </c>
      <c r="H442" t="s">
        <v>52</v>
      </c>
      <c r="I442" t="s">
        <v>52</v>
      </c>
      <c r="J442" t="s">
        <v>590</v>
      </c>
      <c r="K442" t="s">
        <v>52</v>
      </c>
      <c r="L442" t="s">
        <v>655</v>
      </c>
      <c r="M442" t="s">
        <v>654</v>
      </c>
      <c r="N442" t="s">
        <v>163</v>
      </c>
      <c r="O442" t="s">
        <v>131</v>
      </c>
      <c r="P442" t="s">
        <v>131</v>
      </c>
      <c r="Q442" t="s">
        <v>51</v>
      </c>
      <c r="R442" t="s">
        <v>51</v>
      </c>
      <c r="S442" t="s">
        <v>51</v>
      </c>
      <c r="T442" t="s">
        <v>51</v>
      </c>
    </row>
    <row r="443" spans="1:20">
      <c r="A443" t="s">
        <v>648</v>
      </c>
      <c r="B443" t="s">
        <v>149</v>
      </c>
      <c r="C443" t="s">
        <v>49</v>
      </c>
      <c r="D443" t="s">
        <v>51</v>
      </c>
      <c r="E443" t="s">
        <v>51</v>
      </c>
      <c r="F443" t="s">
        <v>51</v>
      </c>
      <c r="G443" t="s">
        <v>52</v>
      </c>
      <c r="H443" t="s">
        <v>52</v>
      </c>
      <c r="I443" t="s">
        <v>52</v>
      </c>
      <c r="J443" t="s">
        <v>590</v>
      </c>
      <c r="K443" t="s">
        <v>52</v>
      </c>
      <c r="L443" t="s">
        <v>655</v>
      </c>
      <c r="M443" t="s">
        <v>654</v>
      </c>
      <c r="N443" t="s">
        <v>163</v>
      </c>
      <c r="O443" t="s">
        <v>131</v>
      </c>
      <c r="P443" t="s">
        <v>131</v>
      </c>
      <c r="Q443" t="s">
        <v>51</v>
      </c>
      <c r="R443" t="s">
        <v>51</v>
      </c>
      <c r="S443" t="s">
        <v>51</v>
      </c>
      <c r="T443" t="s">
        <v>51</v>
      </c>
    </row>
    <row r="444" spans="1:20">
      <c r="A444" t="s">
        <v>649</v>
      </c>
      <c r="B444" t="s">
        <v>151</v>
      </c>
      <c r="C444" t="s">
        <v>49</v>
      </c>
      <c r="D444" t="s">
        <v>51</v>
      </c>
      <c r="E444" t="s">
        <v>51</v>
      </c>
      <c r="F444" t="s">
        <v>51</v>
      </c>
      <c r="G444" t="s">
        <v>52</v>
      </c>
      <c r="H444" t="s">
        <v>52</v>
      </c>
      <c r="I444" t="s">
        <v>52</v>
      </c>
      <c r="J444" t="s">
        <v>590</v>
      </c>
      <c r="K444" t="s">
        <v>52</v>
      </c>
      <c r="L444" t="s">
        <v>655</v>
      </c>
      <c r="M444" t="s">
        <v>654</v>
      </c>
      <c r="N444" t="s">
        <v>163</v>
      </c>
      <c r="O444" t="s">
        <v>131</v>
      </c>
      <c r="P444" t="s">
        <v>131</v>
      </c>
      <c r="Q444" t="s">
        <v>51</v>
      </c>
      <c r="R444" t="s">
        <v>51</v>
      </c>
      <c r="S444" t="s">
        <v>51</v>
      </c>
      <c r="T444" t="s">
        <v>51</v>
      </c>
    </row>
    <row r="445" spans="1:20">
      <c r="A445" t="s">
        <v>650</v>
      </c>
      <c r="B445" t="s">
        <v>153</v>
      </c>
      <c r="C445" t="s">
        <v>49</v>
      </c>
      <c r="D445" t="s">
        <v>51</v>
      </c>
      <c r="E445" t="s">
        <v>51</v>
      </c>
      <c r="F445" t="s">
        <v>51</v>
      </c>
      <c r="G445" t="s">
        <v>52</v>
      </c>
      <c r="H445" t="s">
        <v>52</v>
      </c>
      <c r="I445" t="s">
        <v>52</v>
      </c>
      <c r="J445" t="s">
        <v>590</v>
      </c>
      <c r="K445" t="s">
        <v>52</v>
      </c>
      <c r="L445" t="s">
        <v>655</v>
      </c>
      <c r="M445" t="s">
        <v>654</v>
      </c>
      <c r="N445" t="s">
        <v>163</v>
      </c>
      <c r="O445" t="s">
        <v>131</v>
      </c>
      <c r="P445" t="s">
        <v>131</v>
      </c>
      <c r="Q445" t="s">
        <v>51</v>
      </c>
      <c r="R445" t="s">
        <v>51</v>
      </c>
      <c r="S445" t="s">
        <v>51</v>
      </c>
      <c r="T445" t="s">
        <v>51</v>
      </c>
    </row>
    <row r="446" spans="1:20">
      <c r="A446" t="s">
        <v>588</v>
      </c>
      <c r="B446" t="s">
        <v>589</v>
      </c>
      <c r="C446" t="s">
        <v>165</v>
      </c>
      <c r="D446" t="s">
        <v>50</v>
      </c>
      <c r="E446" t="s">
        <v>51</v>
      </c>
      <c r="F446" t="s">
        <v>51</v>
      </c>
      <c r="G446" t="s">
        <v>52</v>
      </c>
      <c r="H446" t="s">
        <v>52</v>
      </c>
      <c r="I446" t="s">
        <v>52</v>
      </c>
      <c r="J446" t="s">
        <v>52</v>
      </c>
      <c r="K446" t="s">
        <v>52</v>
      </c>
      <c r="L446" t="s">
        <v>656</v>
      </c>
      <c r="M446" t="s">
        <v>654</v>
      </c>
      <c r="N446" t="s">
        <v>163</v>
      </c>
      <c r="O446" t="s">
        <v>133</v>
      </c>
      <c r="P446" t="s">
        <v>133</v>
      </c>
      <c r="Q446" t="s">
        <v>51</v>
      </c>
      <c r="R446" t="s">
        <v>51</v>
      </c>
      <c r="S446" t="s">
        <v>51</v>
      </c>
      <c r="T446" t="s">
        <v>51</v>
      </c>
    </row>
    <row r="447" spans="1:20">
      <c r="A447" t="s">
        <v>603</v>
      </c>
      <c r="B447" t="s">
        <v>60</v>
      </c>
      <c r="C447" t="s">
        <v>49</v>
      </c>
      <c r="D447" t="s">
        <v>51</v>
      </c>
      <c r="E447" t="s">
        <v>51</v>
      </c>
      <c r="F447" t="s">
        <v>51</v>
      </c>
      <c r="G447" t="s">
        <v>52</v>
      </c>
      <c r="H447" t="s">
        <v>52</v>
      </c>
      <c r="I447" t="s">
        <v>52</v>
      </c>
      <c r="J447" t="s">
        <v>590</v>
      </c>
      <c r="K447" t="s">
        <v>52</v>
      </c>
      <c r="L447" t="s">
        <v>656</v>
      </c>
      <c r="M447" t="s">
        <v>654</v>
      </c>
      <c r="N447" t="s">
        <v>163</v>
      </c>
      <c r="O447" t="s">
        <v>133</v>
      </c>
      <c r="P447" t="s">
        <v>133</v>
      </c>
      <c r="Q447" t="s">
        <v>51</v>
      </c>
      <c r="R447" t="s">
        <v>51</v>
      </c>
      <c r="S447" t="s">
        <v>51</v>
      </c>
      <c r="T447" t="s">
        <v>51</v>
      </c>
    </row>
    <row r="448" spans="1:20">
      <c r="A448" t="s">
        <v>604</v>
      </c>
      <c r="B448" t="s">
        <v>62</v>
      </c>
      <c r="C448" t="s">
        <v>49</v>
      </c>
      <c r="D448" t="s">
        <v>51</v>
      </c>
      <c r="E448" t="s">
        <v>51</v>
      </c>
      <c r="F448" t="s">
        <v>51</v>
      </c>
      <c r="G448" t="s">
        <v>52</v>
      </c>
      <c r="H448" t="s">
        <v>52</v>
      </c>
      <c r="I448" t="s">
        <v>52</v>
      </c>
      <c r="J448" t="s">
        <v>590</v>
      </c>
      <c r="K448" t="s">
        <v>52</v>
      </c>
      <c r="L448" t="s">
        <v>656</v>
      </c>
      <c r="M448" t="s">
        <v>654</v>
      </c>
      <c r="N448" t="s">
        <v>163</v>
      </c>
      <c r="O448" t="s">
        <v>133</v>
      </c>
      <c r="P448" t="s">
        <v>133</v>
      </c>
      <c r="Q448" t="s">
        <v>51</v>
      </c>
      <c r="R448" t="s">
        <v>51</v>
      </c>
      <c r="S448" t="s">
        <v>51</v>
      </c>
      <c r="T448" t="s">
        <v>51</v>
      </c>
    </row>
    <row r="449" spans="1:20">
      <c r="A449" t="s">
        <v>605</v>
      </c>
      <c r="B449" t="s">
        <v>56</v>
      </c>
      <c r="C449" t="s">
        <v>49</v>
      </c>
      <c r="D449" t="s">
        <v>51</v>
      </c>
      <c r="E449" t="s">
        <v>51</v>
      </c>
      <c r="F449" t="s">
        <v>51</v>
      </c>
      <c r="G449" t="s">
        <v>52</v>
      </c>
      <c r="H449" t="s">
        <v>52</v>
      </c>
      <c r="I449" t="s">
        <v>52</v>
      </c>
      <c r="J449" t="s">
        <v>590</v>
      </c>
      <c r="K449" t="s">
        <v>52</v>
      </c>
      <c r="L449" t="s">
        <v>656</v>
      </c>
      <c r="M449" t="s">
        <v>654</v>
      </c>
      <c r="N449" t="s">
        <v>163</v>
      </c>
      <c r="O449" t="s">
        <v>133</v>
      </c>
      <c r="P449" t="s">
        <v>133</v>
      </c>
      <c r="Q449" t="s">
        <v>51</v>
      </c>
      <c r="R449" t="s">
        <v>51</v>
      </c>
      <c r="S449" t="s">
        <v>51</v>
      </c>
      <c r="T449" t="s">
        <v>51</v>
      </c>
    </row>
    <row r="450" spans="1:20">
      <c r="A450" t="s">
        <v>606</v>
      </c>
      <c r="B450" t="s">
        <v>65</v>
      </c>
      <c r="C450" t="s">
        <v>49</v>
      </c>
      <c r="D450" t="s">
        <v>51</v>
      </c>
      <c r="E450" t="s">
        <v>51</v>
      </c>
      <c r="F450" t="s">
        <v>51</v>
      </c>
      <c r="G450" t="s">
        <v>52</v>
      </c>
      <c r="H450" t="s">
        <v>52</v>
      </c>
      <c r="I450" t="s">
        <v>52</v>
      </c>
      <c r="J450" t="s">
        <v>590</v>
      </c>
      <c r="K450" t="s">
        <v>52</v>
      </c>
      <c r="L450" t="s">
        <v>656</v>
      </c>
      <c r="M450" t="s">
        <v>654</v>
      </c>
      <c r="N450" t="s">
        <v>163</v>
      </c>
      <c r="O450" t="s">
        <v>133</v>
      </c>
      <c r="P450" t="s">
        <v>133</v>
      </c>
      <c r="Q450" t="s">
        <v>51</v>
      </c>
      <c r="R450" t="s">
        <v>51</v>
      </c>
      <c r="S450" t="s">
        <v>51</v>
      </c>
      <c r="T450" t="s">
        <v>51</v>
      </c>
    </row>
    <row r="451" spans="1:20">
      <c r="A451" t="s">
        <v>607</v>
      </c>
      <c r="B451" t="s">
        <v>67</v>
      </c>
      <c r="C451" t="s">
        <v>49</v>
      </c>
      <c r="D451" t="s">
        <v>51</v>
      </c>
      <c r="E451" t="s">
        <v>51</v>
      </c>
      <c r="F451" t="s">
        <v>51</v>
      </c>
      <c r="G451" t="s">
        <v>52</v>
      </c>
      <c r="H451" t="s">
        <v>52</v>
      </c>
      <c r="I451" t="s">
        <v>52</v>
      </c>
      <c r="J451" t="s">
        <v>590</v>
      </c>
      <c r="K451" t="s">
        <v>52</v>
      </c>
      <c r="L451" t="s">
        <v>656</v>
      </c>
      <c r="M451" t="s">
        <v>654</v>
      </c>
      <c r="N451" t="s">
        <v>163</v>
      </c>
      <c r="O451" t="s">
        <v>133</v>
      </c>
      <c r="P451" t="s">
        <v>133</v>
      </c>
      <c r="Q451" t="s">
        <v>51</v>
      </c>
      <c r="R451" t="s">
        <v>51</v>
      </c>
      <c r="S451" t="s">
        <v>51</v>
      </c>
      <c r="T451" t="s">
        <v>51</v>
      </c>
    </row>
    <row r="452" spans="1:20">
      <c r="A452" t="s">
        <v>608</v>
      </c>
      <c r="B452" t="s">
        <v>69</v>
      </c>
      <c r="C452" t="s">
        <v>49</v>
      </c>
      <c r="D452" t="s">
        <v>51</v>
      </c>
      <c r="E452" t="s">
        <v>51</v>
      </c>
      <c r="F452" t="s">
        <v>51</v>
      </c>
      <c r="G452" t="s">
        <v>52</v>
      </c>
      <c r="H452" t="s">
        <v>52</v>
      </c>
      <c r="I452" t="s">
        <v>52</v>
      </c>
      <c r="J452" t="s">
        <v>590</v>
      </c>
      <c r="K452" t="s">
        <v>52</v>
      </c>
      <c r="L452" t="s">
        <v>656</v>
      </c>
      <c r="M452" t="s">
        <v>654</v>
      </c>
      <c r="N452" t="s">
        <v>163</v>
      </c>
      <c r="O452" t="s">
        <v>133</v>
      </c>
      <c r="P452" t="s">
        <v>133</v>
      </c>
      <c r="Q452" t="s">
        <v>51</v>
      </c>
      <c r="R452" t="s">
        <v>51</v>
      </c>
      <c r="S452" t="s">
        <v>51</v>
      </c>
      <c r="T452" t="s">
        <v>51</v>
      </c>
    </row>
    <row r="453" spans="1:20">
      <c r="A453" t="s">
        <v>609</v>
      </c>
      <c r="B453" t="s">
        <v>71</v>
      </c>
      <c r="C453" t="s">
        <v>49</v>
      </c>
      <c r="D453" t="s">
        <v>51</v>
      </c>
      <c r="E453" t="s">
        <v>51</v>
      </c>
      <c r="F453" t="s">
        <v>51</v>
      </c>
      <c r="G453" t="s">
        <v>52</v>
      </c>
      <c r="H453" t="s">
        <v>52</v>
      </c>
      <c r="I453" t="s">
        <v>52</v>
      </c>
      <c r="J453" t="s">
        <v>590</v>
      </c>
      <c r="K453" t="s">
        <v>52</v>
      </c>
      <c r="L453" t="s">
        <v>656</v>
      </c>
      <c r="M453" t="s">
        <v>654</v>
      </c>
      <c r="N453" t="s">
        <v>163</v>
      </c>
      <c r="O453" t="s">
        <v>133</v>
      </c>
      <c r="P453" t="s">
        <v>133</v>
      </c>
      <c r="Q453" t="s">
        <v>51</v>
      </c>
      <c r="R453" t="s">
        <v>51</v>
      </c>
      <c r="S453" t="s">
        <v>51</v>
      </c>
      <c r="T453" t="s">
        <v>51</v>
      </c>
    </row>
    <row r="454" spans="1:20">
      <c r="A454" t="s">
        <v>610</v>
      </c>
      <c r="B454" t="s">
        <v>73</v>
      </c>
      <c r="C454" t="s">
        <v>49</v>
      </c>
      <c r="D454" t="s">
        <v>51</v>
      </c>
      <c r="E454" t="s">
        <v>51</v>
      </c>
      <c r="F454" t="s">
        <v>51</v>
      </c>
      <c r="G454" t="s">
        <v>52</v>
      </c>
      <c r="H454" t="s">
        <v>52</v>
      </c>
      <c r="I454" t="s">
        <v>52</v>
      </c>
      <c r="J454" t="s">
        <v>590</v>
      </c>
      <c r="K454" t="s">
        <v>52</v>
      </c>
      <c r="L454" t="s">
        <v>656</v>
      </c>
      <c r="M454" t="s">
        <v>654</v>
      </c>
      <c r="N454" t="s">
        <v>163</v>
      </c>
      <c r="O454" t="s">
        <v>133</v>
      </c>
      <c r="P454" t="s">
        <v>133</v>
      </c>
      <c r="Q454" t="s">
        <v>51</v>
      </c>
      <c r="R454" t="s">
        <v>51</v>
      </c>
      <c r="S454" t="s">
        <v>51</v>
      </c>
      <c r="T454" t="s">
        <v>51</v>
      </c>
    </row>
    <row r="455" spans="1:20">
      <c r="A455" t="s">
        <v>611</v>
      </c>
      <c r="B455" t="s">
        <v>75</v>
      </c>
      <c r="C455" t="s">
        <v>49</v>
      </c>
      <c r="D455" t="s">
        <v>51</v>
      </c>
      <c r="E455" t="s">
        <v>51</v>
      </c>
      <c r="F455" t="s">
        <v>51</v>
      </c>
      <c r="G455" t="s">
        <v>52</v>
      </c>
      <c r="H455" t="s">
        <v>52</v>
      </c>
      <c r="I455" t="s">
        <v>52</v>
      </c>
      <c r="J455" t="s">
        <v>590</v>
      </c>
      <c r="K455" t="s">
        <v>52</v>
      </c>
      <c r="L455" t="s">
        <v>656</v>
      </c>
      <c r="M455" t="s">
        <v>654</v>
      </c>
      <c r="N455" t="s">
        <v>163</v>
      </c>
      <c r="O455" t="s">
        <v>133</v>
      </c>
      <c r="P455" t="s">
        <v>133</v>
      </c>
      <c r="Q455" t="s">
        <v>51</v>
      </c>
      <c r="R455" t="s">
        <v>51</v>
      </c>
      <c r="S455" t="s">
        <v>51</v>
      </c>
      <c r="T455" t="s">
        <v>51</v>
      </c>
    </row>
    <row r="456" spans="1:20">
      <c r="A456" t="s">
        <v>612</v>
      </c>
      <c r="B456" t="s">
        <v>77</v>
      </c>
      <c r="C456" t="s">
        <v>49</v>
      </c>
      <c r="D456" t="s">
        <v>51</v>
      </c>
      <c r="E456" t="s">
        <v>51</v>
      </c>
      <c r="F456" t="s">
        <v>51</v>
      </c>
      <c r="G456" t="s">
        <v>52</v>
      </c>
      <c r="H456" t="s">
        <v>52</v>
      </c>
      <c r="I456" t="s">
        <v>52</v>
      </c>
      <c r="J456" t="s">
        <v>590</v>
      </c>
      <c r="K456" t="s">
        <v>52</v>
      </c>
      <c r="L456" t="s">
        <v>656</v>
      </c>
      <c r="M456" t="s">
        <v>654</v>
      </c>
      <c r="N456" t="s">
        <v>163</v>
      </c>
      <c r="O456" t="s">
        <v>133</v>
      </c>
      <c r="P456" t="s">
        <v>133</v>
      </c>
      <c r="Q456" t="s">
        <v>51</v>
      </c>
      <c r="R456" t="s">
        <v>51</v>
      </c>
      <c r="S456" t="s">
        <v>51</v>
      </c>
      <c r="T456" t="s">
        <v>51</v>
      </c>
    </row>
    <row r="457" spans="1:20">
      <c r="A457" t="s">
        <v>613</v>
      </c>
      <c r="B457" t="s">
        <v>79</v>
      </c>
      <c r="C457" t="s">
        <v>49</v>
      </c>
      <c r="D457" t="s">
        <v>51</v>
      </c>
      <c r="E457" t="s">
        <v>51</v>
      </c>
      <c r="F457" t="s">
        <v>51</v>
      </c>
      <c r="G457" t="s">
        <v>52</v>
      </c>
      <c r="H457" t="s">
        <v>52</v>
      </c>
      <c r="I457" t="s">
        <v>52</v>
      </c>
      <c r="J457" t="s">
        <v>590</v>
      </c>
      <c r="K457" t="s">
        <v>52</v>
      </c>
      <c r="L457" t="s">
        <v>656</v>
      </c>
      <c r="M457" t="s">
        <v>654</v>
      </c>
      <c r="N457" t="s">
        <v>163</v>
      </c>
      <c r="O457" t="s">
        <v>133</v>
      </c>
      <c r="P457" t="s">
        <v>133</v>
      </c>
      <c r="Q457" t="s">
        <v>51</v>
      </c>
      <c r="R457" t="s">
        <v>51</v>
      </c>
      <c r="S457" t="s">
        <v>51</v>
      </c>
      <c r="T457" t="s">
        <v>51</v>
      </c>
    </row>
    <row r="458" spans="1:20">
      <c r="A458" t="s">
        <v>614</v>
      </c>
      <c r="B458" t="s">
        <v>81</v>
      </c>
      <c r="C458" t="s">
        <v>49</v>
      </c>
      <c r="D458" t="s">
        <v>51</v>
      </c>
      <c r="E458" t="s">
        <v>51</v>
      </c>
      <c r="F458" t="s">
        <v>51</v>
      </c>
      <c r="G458" t="s">
        <v>52</v>
      </c>
      <c r="H458" t="s">
        <v>52</v>
      </c>
      <c r="I458" t="s">
        <v>52</v>
      </c>
      <c r="J458" t="s">
        <v>590</v>
      </c>
      <c r="K458" t="s">
        <v>52</v>
      </c>
      <c r="L458" t="s">
        <v>656</v>
      </c>
      <c r="M458" t="s">
        <v>654</v>
      </c>
      <c r="N458" t="s">
        <v>163</v>
      </c>
      <c r="O458" t="s">
        <v>133</v>
      </c>
      <c r="P458" t="s">
        <v>133</v>
      </c>
      <c r="Q458" t="s">
        <v>51</v>
      </c>
      <c r="R458" t="s">
        <v>51</v>
      </c>
      <c r="S458" t="s">
        <v>51</v>
      </c>
      <c r="T458" t="s">
        <v>51</v>
      </c>
    </row>
    <row r="459" spans="1:20">
      <c r="A459" t="s">
        <v>615</v>
      </c>
      <c r="B459" t="s">
        <v>83</v>
      </c>
      <c r="C459" t="s">
        <v>49</v>
      </c>
      <c r="D459" t="s">
        <v>51</v>
      </c>
      <c r="E459" t="s">
        <v>51</v>
      </c>
      <c r="F459" t="s">
        <v>51</v>
      </c>
      <c r="G459" t="s">
        <v>52</v>
      </c>
      <c r="H459" t="s">
        <v>52</v>
      </c>
      <c r="I459" t="s">
        <v>52</v>
      </c>
      <c r="J459" t="s">
        <v>590</v>
      </c>
      <c r="K459" t="s">
        <v>52</v>
      </c>
      <c r="L459" t="s">
        <v>656</v>
      </c>
      <c r="M459" t="s">
        <v>654</v>
      </c>
      <c r="N459" t="s">
        <v>163</v>
      </c>
      <c r="O459" t="s">
        <v>133</v>
      </c>
      <c r="P459" t="s">
        <v>133</v>
      </c>
      <c r="Q459" t="s">
        <v>51</v>
      </c>
      <c r="R459" t="s">
        <v>51</v>
      </c>
      <c r="S459" t="s">
        <v>51</v>
      </c>
      <c r="T459" t="s">
        <v>51</v>
      </c>
    </row>
    <row r="460" spans="1:20">
      <c r="A460" t="s">
        <v>616</v>
      </c>
      <c r="B460" t="s">
        <v>85</v>
      </c>
      <c r="C460" t="s">
        <v>49</v>
      </c>
      <c r="D460" t="s">
        <v>51</v>
      </c>
      <c r="E460" t="s">
        <v>51</v>
      </c>
      <c r="F460" t="s">
        <v>51</v>
      </c>
      <c r="G460" t="s">
        <v>52</v>
      </c>
      <c r="H460" t="s">
        <v>52</v>
      </c>
      <c r="I460" t="s">
        <v>52</v>
      </c>
      <c r="J460" t="s">
        <v>590</v>
      </c>
      <c r="K460" t="s">
        <v>52</v>
      </c>
      <c r="L460" t="s">
        <v>656</v>
      </c>
      <c r="M460" t="s">
        <v>654</v>
      </c>
      <c r="N460" t="s">
        <v>163</v>
      </c>
      <c r="O460" t="s">
        <v>133</v>
      </c>
      <c r="P460" t="s">
        <v>133</v>
      </c>
      <c r="Q460" t="s">
        <v>51</v>
      </c>
      <c r="R460" t="s">
        <v>51</v>
      </c>
      <c r="S460" t="s">
        <v>51</v>
      </c>
      <c r="T460" t="s">
        <v>51</v>
      </c>
    </row>
    <row r="461" spans="1:20">
      <c r="A461" t="s">
        <v>617</v>
      </c>
      <c r="B461" t="s">
        <v>87</v>
      </c>
      <c r="C461" t="s">
        <v>49</v>
      </c>
      <c r="D461" t="s">
        <v>51</v>
      </c>
      <c r="E461" t="s">
        <v>51</v>
      </c>
      <c r="F461" t="s">
        <v>51</v>
      </c>
      <c r="G461" t="s">
        <v>52</v>
      </c>
      <c r="H461" t="s">
        <v>52</v>
      </c>
      <c r="I461" t="s">
        <v>52</v>
      </c>
      <c r="J461" t="s">
        <v>590</v>
      </c>
      <c r="K461" t="s">
        <v>52</v>
      </c>
      <c r="L461" t="s">
        <v>656</v>
      </c>
      <c r="M461" t="s">
        <v>654</v>
      </c>
      <c r="N461" t="s">
        <v>163</v>
      </c>
      <c r="O461" t="s">
        <v>133</v>
      </c>
      <c r="P461" t="s">
        <v>133</v>
      </c>
      <c r="Q461" t="s">
        <v>51</v>
      </c>
      <c r="R461" t="s">
        <v>51</v>
      </c>
      <c r="S461" t="s">
        <v>51</v>
      </c>
      <c r="T461" t="s">
        <v>51</v>
      </c>
    </row>
    <row r="462" spans="1:20">
      <c r="A462" t="s">
        <v>618</v>
      </c>
      <c r="B462" t="s">
        <v>89</v>
      </c>
      <c r="C462" t="s">
        <v>49</v>
      </c>
      <c r="D462" t="s">
        <v>51</v>
      </c>
      <c r="E462" t="s">
        <v>51</v>
      </c>
      <c r="F462" t="s">
        <v>51</v>
      </c>
      <c r="G462" t="s">
        <v>52</v>
      </c>
      <c r="H462" t="s">
        <v>52</v>
      </c>
      <c r="I462" t="s">
        <v>52</v>
      </c>
      <c r="J462" t="s">
        <v>590</v>
      </c>
      <c r="K462" t="s">
        <v>52</v>
      </c>
      <c r="L462" t="s">
        <v>656</v>
      </c>
      <c r="M462" t="s">
        <v>654</v>
      </c>
      <c r="N462" t="s">
        <v>163</v>
      </c>
      <c r="O462" t="s">
        <v>133</v>
      </c>
      <c r="P462" t="s">
        <v>133</v>
      </c>
      <c r="Q462" t="s">
        <v>51</v>
      </c>
      <c r="R462" t="s">
        <v>51</v>
      </c>
      <c r="S462" t="s">
        <v>51</v>
      </c>
      <c r="T462" t="s">
        <v>51</v>
      </c>
    </row>
    <row r="463" spans="1:20">
      <c r="A463" t="s">
        <v>619</v>
      </c>
      <c r="B463" t="s">
        <v>91</v>
      </c>
      <c r="C463" t="s">
        <v>49</v>
      </c>
      <c r="D463" t="s">
        <v>51</v>
      </c>
      <c r="E463" t="s">
        <v>51</v>
      </c>
      <c r="F463" t="s">
        <v>51</v>
      </c>
      <c r="G463" t="s">
        <v>52</v>
      </c>
      <c r="H463" t="s">
        <v>52</v>
      </c>
      <c r="I463" t="s">
        <v>52</v>
      </c>
      <c r="J463" t="s">
        <v>590</v>
      </c>
      <c r="K463" t="s">
        <v>52</v>
      </c>
      <c r="L463" t="s">
        <v>656</v>
      </c>
      <c r="M463" t="s">
        <v>654</v>
      </c>
      <c r="N463" t="s">
        <v>163</v>
      </c>
      <c r="O463" t="s">
        <v>133</v>
      </c>
      <c r="P463" t="s">
        <v>133</v>
      </c>
      <c r="Q463" t="s">
        <v>51</v>
      </c>
      <c r="R463" t="s">
        <v>51</v>
      </c>
      <c r="S463" t="s">
        <v>51</v>
      </c>
      <c r="T463" t="s">
        <v>51</v>
      </c>
    </row>
    <row r="464" spans="1:20">
      <c r="A464" t="s">
        <v>620</v>
      </c>
      <c r="B464" t="s">
        <v>93</v>
      </c>
      <c r="C464" t="s">
        <v>49</v>
      </c>
      <c r="D464" t="s">
        <v>51</v>
      </c>
      <c r="E464" t="s">
        <v>51</v>
      </c>
      <c r="F464" t="s">
        <v>51</v>
      </c>
      <c r="G464" t="s">
        <v>52</v>
      </c>
      <c r="H464" t="s">
        <v>52</v>
      </c>
      <c r="I464" t="s">
        <v>52</v>
      </c>
      <c r="J464" t="s">
        <v>590</v>
      </c>
      <c r="K464" t="s">
        <v>52</v>
      </c>
      <c r="L464" t="s">
        <v>656</v>
      </c>
      <c r="M464" t="s">
        <v>654</v>
      </c>
      <c r="N464" t="s">
        <v>163</v>
      </c>
      <c r="O464" t="s">
        <v>133</v>
      </c>
      <c r="P464" t="s">
        <v>133</v>
      </c>
      <c r="Q464" t="s">
        <v>51</v>
      </c>
      <c r="R464" t="s">
        <v>51</v>
      </c>
      <c r="S464" t="s">
        <v>51</v>
      </c>
      <c r="T464" t="s">
        <v>51</v>
      </c>
    </row>
    <row r="465" spans="1:20">
      <c r="A465" t="s">
        <v>621</v>
      </c>
      <c r="B465" t="s">
        <v>95</v>
      </c>
      <c r="C465" t="s">
        <v>49</v>
      </c>
      <c r="D465" t="s">
        <v>51</v>
      </c>
      <c r="E465" t="s">
        <v>51</v>
      </c>
      <c r="F465" t="s">
        <v>51</v>
      </c>
      <c r="G465" t="s">
        <v>52</v>
      </c>
      <c r="H465" t="s">
        <v>52</v>
      </c>
      <c r="I465" t="s">
        <v>52</v>
      </c>
      <c r="J465" t="s">
        <v>590</v>
      </c>
      <c r="K465" t="s">
        <v>52</v>
      </c>
      <c r="L465" t="s">
        <v>656</v>
      </c>
      <c r="M465" t="s">
        <v>654</v>
      </c>
      <c r="N465" t="s">
        <v>163</v>
      </c>
      <c r="O465" t="s">
        <v>133</v>
      </c>
      <c r="P465" t="s">
        <v>133</v>
      </c>
      <c r="Q465" t="s">
        <v>51</v>
      </c>
      <c r="R465" t="s">
        <v>51</v>
      </c>
      <c r="S465" t="s">
        <v>51</v>
      </c>
      <c r="T465" t="s">
        <v>51</v>
      </c>
    </row>
    <row r="466" spans="1:20">
      <c r="A466" t="s">
        <v>622</v>
      </c>
      <c r="B466" t="s">
        <v>97</v>
      </c>
      <c r="C466" t="s">
        <v>49</v>
      </c>
      <c r="D466" t="s">
        <v>51</v>
      </c>
      <c r="E466" t="s">
        <v>51</v>
      </c>
      <c r="F466" t="s">
        <v>51</v>
      </c>
      <c r="G466" t="s">
        <v>52</v>
      </c>
      <c r="H466" t="s">
        <v>52</v>
      </c>
      <c r="I466" t="s">
        <v>52</v>
      </c>
      <c r="J466" t="s">
        <v>590</v>
      </c>
      <c r="K466" t="s">
        <v>52</v>
      </c>
      <c r="L466" t="s">
        <v>656</v>
      </c>
      <c r="M466" t="s">
        <v>654</v>
      </c>
      <c r="N466" t="s">
        <v>163</v>
      </c>
      <c r="O466" t="s">
        <v>133</v>
      </c>
      <c r="P466" t="s">
        <v>133</v>
      </c>
      <c r="Q466" t="s">
        <v>51</v>
      </c>
      <c r="R466" t="s">
        <v>51</v>
      </c>
      <c r="S466" t="s">
        <v>51</v>
      </c>
      <c r="T466" t="s">
        <v>51</v>
      </c>
    </row>
    <row r="467" spans="1:20">
      <c r="A467" t="s">
        <v>623</v>
      </c>
      <c r="B467" t="s">
        <v>99</v>
      </c>
      <c r="C467" t="s">
        <v>49</v>
      </c>
      <c r="D467" t="s">
        <v>51</v>
      </c>
      <c r="E467" t="s">
        <v>51</v>
      </c>
      <c r="F467" t="s">
        <v>51</v>
      </c>
      <c r="G467" t="s">
        <v>52</v>
      </c>
      <c r="H467" t="s">
        <v>52</v>
      </c>
      <c r="I467" t="s">
        <v>52</v>
      </c>
      <c r="J467" t="s">
        <v>590</v>
      </c>
      <c r="K467" t="s">
        <v>52</v>
      </c>
      <c r="L467" t="s">
        <v>656</v>
      </c>
      <c r="M467" t="s">
        <v>654</v>
      </c>
      <c r="N467" t="s">
        <v>163</v>
      </c>
      <c r="O467" t="s">
        <v>133</v>
      </c>
      <c r="P467" t="s">
        <v>133</v>
      </c>
      <c r="Q467" t="s">
        <v>51</v>
      </c>
      <c r="R467" t="s">
        <v>51</v>
      </c>
      <c r="S467" t="s">
        <v>51</v>
      </c>
      <c r="T467" t="s">
        <v>51</v>
      </c>
    </row>
    <row r="468" spans="1:20">
      <c r="A468" t="s">
        <v>624</v>
      </c>
      <c r="B468" t="s">
        <v>101</v>
      </c>
      <c r="C468" t="s">
        <v>49</v>
      </c>
      <c r="D468" t="s">
        <v>51</v>
      </c>
      <c r="E468" t="s">
        <v>51</v>
      </c>
      <c r="F468" t="s">
        <v>51</v>
      </c>
      <c r="G468" t="s">
        <v>52</v>
      </c>
      <c r="H468" t="s">
        <v>52</v>
      </c>
      <c r="I468" t="s">
        <v>52</v>
      </c>
      <c r="J468" t="s">
        <v>590</v>
      </c>
      <c r="K468" t="s">
        <v>52</v>
      </c>
      <c r="L468" t="s">
        <v>656</v>
      </c>
      <c r="M468" t="s">
        <v>654</v>
      </c>
      <c r="N468" t="s">
        <v>163</v>
      </c>
      <c r="O468" t="s">
        <v>133</v>
      </c>
      <c r="P468" t="s">
        <v>133</v>
      </c>
      <c r="Q468" t="s">
        <v>51</v>
      </c>
      <c r="R468" t="s">
        <v>51</v>
      </c>
      <c r="S468" t="s">
        <v>51</v>
      </c>
      <c r="T468" t="s">
        <v>51</v>
      </c>
    </row>
    <row r="469" spans="1:20">
      <c r="A469" t="s">
        <v>625</v>
      </c>
      <c r="B469" t="s">
        <v>103</v>
      </c>
      <c r="C469" t="s">
        <v>49</v>
      </c>
      <c r="D469" t="s">
        <v>51</v>
      </c>
      <c r="E469" t="s">
        <v>51</v>
      </c>
      <c r="F469" t="s">
        <v>51</v>
      </c>
      <c r="G469" t="s">
        <v>52</v>
      </c>
      <c r="H469" t="s">
        <v>52</v>
      </c>
      <c r="I469" t="s">
        <v>52</v>
      </c>
      <c r="J469" t="s">
        <v>590</v>
      </c>
      <c r="K469" t="s">
        <v>52</v>
      </c>
      <c r="L469" t="s">
        <v>656</v>
      </c>
      <c r="M469" t="s">
        <v>654</v>
      </c>
      <c r="N469" t="s">
        <v>163</v>
      </c>
      <c r="O469" t="s">
        <v>133</v>
      </c>
      <c r="P469" t="s">
        <v>133</v>
      </c>
      <c r="Q469" t="s">
        <v>51</v>
      </c>
      <c r="R469" t="s">
        <v>51</v>
      </c>
      <c r="S469" t="s">
        <v>51</v>
      </c>
      <c r="T469" t="s">
        <v>51</v>
      </c>
    </row>
    <row r="470" spans="1:20">
      <c r="A470" t="s">
        <v>626</v>
      </c>
      <c r="B470" t="s">
        <v>105</v>
      </c>
      <c r="C470" t="s">
        <v>49</v>
      </c>
      <c r="D470" t="s">
        <v>51</v>
      </c>
      <c r="E470" t="s">
        <v>51</v>
      </c>
      <c r="F470" t="s">
        <v>51</v>
      </c>
      <c r="G470" t="s">
        <v>52</v>
      </c>
      <c r="H470" t="s">
        <v>52</v>
      </c>
      <c r="I470" t="s">
        <v>52</v>
      </c>
      <c r="J470" t="s">
        <v>590</v>
      </c>
      <c r="K470" t="s">
        <v>52</v>
      </c>
      <c r="L470" t="s">
        <v>656</v>
      </c>
      <c r="M470" t="s">
        <v>654</v>
      </c>
      <c r="N470" t="s">
        <v>163</v>
      </c>
      <c r="O470" t="s">
        <v>133</v>
      </c>
      <c r="P470" t="s">
        <v>133</v>
      </c>
      <c r="Q470" t="s">
        <v>51</v>
      </c>
      <c r="R470" t="s">
        <v>51</v>
      </c>
      <c r="S470" t="s">
        <v>51</v>
      </c>
      <c r="T470" t="s">
        <v>51</v>
      </c>
    </row>
    <row r="471" spans="1:20">
      <c r="A471" t="s">
        <v>627</v>
      </c>
      <c r="B471" t="s">
        <v>107</v>
      </c>
      <c r="C471" t="s">
        <v>49</v>
      </c>
      <c r="D471" t="s">
        <v>51</v>
      </c>
      <c r="E471" t="s">
        <v>51</v>
      </c>
      <c r="F471" t="s">
        <v>51</v>
      </c>
      <c r="G471" t="s">
        <v>52</v>
      </c>
      <c r="H471" t="s">
        <v>52</v>
      </c>
      <c r="I471" t="s">
        <v>52</v>
      </c>
      <c r="J471" t="s">
        <v>590</v>
      </c>
      <c r="K471" t="s">
        <v>52</v>
      </c>
      <c r="L471" t="s">
        <v>656</v>
      </c>
      <c r="M471" t="s">
        <v>654</v>
      </c>
      <c r="N471" t="s">
        <v>163</v>
      </c>
      <c r="O471" t="s">
        <v>133</v>
      </c>
      <c r="P471" t="s">
        <v>133</v>
      </c>
      <c r="Q471" t="s">
        <v>51</v>
      </c>
      <c r="R471" t="s">
        <v>51</v>
      </c>
      <c r="S471" t="s">
        <v>51</v>
      </c>
      <c r="T471" t="s">
        <v>51</v>
      </c>
    </row>
    <row r="472" spans="1:20">
      <c r="A472" t="s">
        <v>628</v>
      </c>
      <c r="B472" t="s">
        <v>109</v>
      </c>
      <c r="C472" t="s">
        <v>49</v>
      </c>
      <c r="D472" t="s">
        <v>51</v>
      </c>
      <c r="E472" t="s">
        <v>51</v>
      </c>
      <c r="F472" t="s">
        <v>51</v>
      </c>
      <c r="G472" t="s">
        <v>52</v>
      </c>
      <c r="H472" t="s">
        <v>52</v>
      </c>
      <c r="I472" t="s">
        <v>52</v>
      </c>
      <c r="J472" t="s">
        <v>590</v>
      </c>
      <c r="K472" t="s">
        <v>52</v>
      </c>
      <c r="L472" t="s">
        <v>656</v>
      </c>
      <c r="M472" t="s">
        <v>654</v>
      </c>
      <c r="N472" t="s">
        <v>163</v>
      </c>
      <c r="O472" t="s">
        <v>133</v>
      </c>
      <c r="P472" t="s">
        <v>133</v>
      </c>
      <c r="Q472" t="s">
        <v>51</v>
      </c>
      <c r="R472" t="s">
        <v>51</v>
      </c>
      <c r="S472" t="s">
        <v>51</v>
      </c>
      <c r="T472" t="s">
        <v>51</v>
      </c>
    </row>
    <row r="473" spans="1:20">
      <c r="A473" t="s">
        <v>629</v>
      </c>
      <c r="B473" t="s">
        <v>111</v>
      </c>
      <c r="C473" t="s">
        <v>49</v>
      </c>
      <c r="D473" t="s">
        <v>51</v>
      </c>
      <c r="E473" t="s">
        <v>51</v>
      </c>
      <c r="F473" t="s">
        <v>51</v>
      </c>
      <c r="G473" t="s">
        <v>52</v>
      </c>
      <c r="H473" t="s">
        <v>52</v>
      </c>
      <c r="I473" t="s">
        <v>52</v>
      </c>
      <c r="J473" t="s">
        <v>590</v>
      </c>
      <c r="K473" t="s">
        <v>52</v>
      </c>
      <c r="L473" t="s">
        <v>656</v>
      </c>
      <c r="M473" t="s">
        <v>654</v>
      </c>
      <c r="N473" t="s">
        <v>163</v>
      </c>
      <c r="O473" t="s">
        <v>133</v>
      </c>
      <c r="P473" t="s">
        <v>133</v>
      </c>
      <c r="Q473" t="s">
        <v>51</v>
      </c>
      <c r="R473" t="s">
        <v>51</v>
      </c>
      <c r="S473" t="s">
        <v>51</v>
      </c>
      <c r="T473" t="s">
        <v>51</v>
      </c>
    </row>
    <row r="474" spans="1:20">
      <c r="A474" t="s">
        <v>630</v>
      </c>
      <c r="B474" t="s">
        <v>113</v>
      </c>
      <c r="C474" t="s">
        <v>49</v>
      </c>
      <c r="D474" t="s">
        <v>51</v>
      </c>
      <c r="E474" t="s">
        <v>51</v>
      </c>
      <c r="F474" t="s">
        <v>51</v>
      </c>
      <c r="G474" t="s">
        <v>52</v>
      </c>
      <c r="H474" t="s">
        <v>52</v>
      </c>
      <c r="I474" t="s">
        <v>52</v>
      </c>
      <c r="J474" t="s">
        <v>590</v>
      </c>
      <c r="K474" t="s">
        <v>52</v>
      </c>
      <c r="L474" t="s">
        <v>656</v>
      </c>
      <c r="M474" t="s">
        <v>654</v>
      </c>
      <c r="N474" t="s">
        <v>163</v>
      </c>
      <c r="O474" t="s">
        <v>133</v>
      </c>
      <c r="P474" t="s">
        <v>133</v>
      </c>
      <c r="Q474" t="s">
        <v>51</v>
      </c>
      <c r="R474" t="s">
        <v>51</v>
      </c>
      <c r="S474" t="s">
        <v>51</v>
      </c>
      <c r="T474" t="s">
        <v>51</v>
      </c>
    </row>
    <row r="475" spans="1:20">
      <c r="A475" t="s">
        <v>631</v>
      </c>
      <c r="B475" t="s">
        <v>115</v>
      </c>
      <c r="C475" t="s">
        <v>49</v>
      </c>
      <c r="D475" t="s">
        <v>51</v>
      </c>
      <c r="E475" t="s">
        <v>51</v>
      </c>
      <c r="F475" t="s">
        <v>51</v>
      </c>
      <c r="G475" t="s">
        <v>52</v>
      </c>
      <c r="H475" t="s">
        <v>52</v>
      </c>
      <c r="I475" t="s">
        <v>52</v>
      </c>
      <c r="J475" t="s">
        <v>590</v>
      </c>
      <c r="K475" t="s">
        <v>52</v>
      </c>
      <c r="L475" t="s">
        <v>656</v>
      </c>
      <c r="M475" t="s">
        <v>654</v>
      </c>
      <c r="N475" t="s">
        <v>163</v>
      </c>
      <c r="O475" t="s">
        <v>133</v>
      </c>
      <c r="P475" t="s">
        <v>133</v>
      </c>
      <c r="Q475" t="s">
        <v>51</v>
      </c>
      <c r="R475" t="s">
        <v>51</v>
      </c>
      <c r="S475" t="s">
        <v>51</v>
      </c>
      <c r="T475" t="s">
        <v>51</v>
      </c>
    </row>
    <row r="476" spans="1:20">
      <c r="A476" t="s">
        <v>632</v>
      </c>
      <c r="B476" t="s">
        <v>117</v>
      </c>
      <c r="C476" t="s">
        <v>49</v>
      </c>
      <c r="D476" t="s">
        <v>51</v>
      </c>
      <c r="E476" t="s">
        <v>51</v>
      </c>
      <c r="F476" t="s">
        <v>51</v>
      </c>
      <c r="G476" t="s">
        <v>52</v>
      </c>
      <c r="H476" t="s">
        <v>52</v>
      </c>
      <c r="I476" t="s">
        <v>52</v>
      </c>
      <c r="J476" t="s">
        <v>590</v>
      </c>
      <c r="K476" t="s">
        <v>52</v>
      </c>
      <c r="L476" t="s">
        <v>656</v>
      </c>
      <c r="M476" t="s">
        <v>654</v>
      </c>
      <c r="N476" t="s">
        <v>163</v>
      </c>
      <c r="O476" t="s">
        <v>133</v>
      </c>
      <c r="P476" t="s">
        <v>133</v>
      </c>
      <c r="Q476" t="s">
        <v>51</v>
      </c>
      <c r="R476" t="s">
        <v>51</v>
      </c>
      <c r="S476" t="s">
        <v>51</v>
      </c>
      <c r="T476" t="s">
        <v>51</v>
      </c>
    </row>
    <row r="477" spans="1:20">
      <c r="A477" t="s">
        <v>633</v>
      </c>
      <c r="B477" t="s">
        <v>119</v>
      </c>
      <c r="C477" t="s">
        <v>49</v>
      </c>
      <c r="D477" t="s">
        <v>51</v>
      </c>
      <c r="E477" t="s">
        <v>51</v>
      </c>
      <c r="F477" t="s">
        <v>51</v>
      </c>
      <c r="G477" t="s">
        <v>52</v>
      </c>
      <c r="H477" t="s">
        <v>52</v>
      </c>
      <c r="I477" t="s">
        <v>52</v>
      </c>
      <c r="J477" t="s">
        <v>590</v>
      </c>
      <c r="K477" t="s">
        <v>52</v>
      </c>
      <c r="L477" t="s">
        <v>656</v>
      </c>
      <c r="M477" t="s">
        <v>654</v>
      </c>
      <c r="N477" t="s">
        <v>163</v>
      </c>
      <c r="O477" t="s">
        <v>133</v>
      </c>
      <c r="P477" t="s">
        <v>133</v>
      </c>
      <c r="Q477" t="s">
        <v>51</v>
      </c>
      <c r="R477" t="s">
        <v>51</v>
      </c>
      <c r="S477" t="s">
        <v>51</v>
      </c>
      <c r="T477" t="s">
        <v>51</v>
      </c>
    </row>
    <row r="478" spans="1:20">
      <c r="A478" t="s">
        <v>634</v>
      </c>
      <c r="B478" t="s">
        <v>121</v>
      </c>
      <c r="C478" t="s">
        <v>49</v>
      </c>
      <c r="D478" t="s">
        <v>51</v>
      </c>
      <c r="E478" t="s">
        <v>51</v>
      </c>
      <c r="F478" t="s">
        <v>51</v>
      </c>
      <c r="G478" t="s">
        <v>52</v>
      </c>
      <c r="H478" t="s">
        <v>52</v>
      </c>
      <c r="I478" t="s">
        <v>52</v>
      </c>
      <c r="J478" t="s">
        <v>590</v>
      </c>
      <c r="K478" t="s">
        <v>52</v>
      </c>
      <c r="L478" t="s">
        <v>656</v>
      </c>
      <c r="M478" t="s">
        <v>654</v>
      </c>
      <c r="N478" t="s">
        <v>163</v>
      </c>
      <c r="O478" t="s">
        <v>133</v>
      </c>
      <c r="P478" t="s">
        <v>133</v>
      </c>
      <c r="Q478" t="s">
        <v>51</v>
      </c>
      <c r="R478" t="s">
        <v>51</v>
      </c>
      <c r="S478" t="s">
        <v>51</v>
      </c>
      <c r="T478" t="s">
        <v>51</v>
      </c>
    </row>
    <row r="479" spans="1:20">
      <c r="A479" t="s">
        <v>635</v>
      </c>
      <c r="B479" t="s">
        <v>123</v>
      </c>
      <c r="C479" t="s">
        <v>49</v>
      </c>
      <c r="D479" t="s">
        <v>51</v>
      </c>
      <c r="E479" t="s">
        <v>51</v>
      </c>
      <c r="F479" t="s">
        <v>51</v>
      </c>
      <c r="G479" t="s">
        <v>52</v>
      </c>
      <c r="H479" t="s">
        <v>52</v>
      </c>
      <c r="I479" t="s">
        <v>52</v>
      </c>
      <c r="J479" t="s">
        <v>590</v>
      </c>
      <c r="K479" t="s">
        <v>52</v>
      </c>
      <c r="L479" t="s">
        <v>656</v>
      </c>
      <c r="M479" t="s">
        <v>654</v>
      </c>
      <c r="N479" t="s">
        <v>163</v>
      </c>
      <c r="O479" t="s">
        <v>133</v>
      </c>
      <c r="P479" t="s">
        <v>133</v>
      </c>
      <c r="Q479" t="s">
        <v>51</v>
      </c>
      <c r="R479" t="s">
        <v>51</v>
      </c>
      <c r="S479" t="s">
        <v>51</v>
      </c>
      <c r="T479" t="s">
        <v>51</v>
      </c>
    </row>
    <row r="480" spans="1:20">
      <c r="A480" t="s">
        <v>636</v>
      </c>
      <c r="B480" t="s">
        <v>125</v>
      </c>
      <c r="C480" t="s">
        <v>49</v>
      </c>
      <c r="D480" t="s">
        <v>51</v>
      </c>
      <c r="E480" t="s">
        <v>51</v>
      </c>
      <c r="F480" t="s">
        <v>51</v>
      </c>
      <c r="G480" t="s">
        <v>52</v>
      </c>
      <c r="H480" t="s">
        <v>52</v>
      </c>
      <c r="I480" t="s">
        <v>52</v>
      </c>
      <c r="J480" t="s">
        <v>590</v>
      </c>
      <c r="K480" t="s">
        <v>52</v>
      </c>
      <c r="L480" t="s">
        <v>656</v>
      </c>
      <c r="M480" t="s">
        <v>654</v>
      </c>
      <c r="N480" t="s">
        <v>163</v>
      </c>
      <c r="O480" t="s">
        <v>133</v>
      </c>
      <c r="P480" t="s">
        <v>133</v>
      </c>
      <c r="Q480" t="s">
        <v>51</v>
      </c>
      <c r="R480" t="s">
        <v>51</v>
      </c>
      <c r="S480" t="s">
        <v>51</v>
      </c>
      <c r="T480" t="s">
        <v>51</v>
      </c>
    </row>
    <row r="481" spans="1:20">
      <c r="A481" t="s">
        <v>637</v>
      </c>
      <c r="B481" t="s">
        <v>127</v>
      </c>
      <c r="C481" t="s">
        <v>49</v>
      </c>
      <c r="D481" t="s">
        <v>51</v>
      </c>
      <c r="E481" t="s">
        <v>51</v>
      </c>
      <c r="F481" t="s">
        <v>51</v>
      </c>
      <c r="G481" t="s">
        <v>52</v>
      </c>
      <c r="H481" t="s">
        <v>52</v>
      </c>
      <c r="I481" t="s">
        <v>52</v>
      </c>
      <c r="J481" t="s">
        <v>590</v>
      </c>
      <c r="K481" t="s">
        <v>52</v>
      </c>
      <c r="L481" t="s">
        <v>656</v>
      </c>
      <c r="M481" t="s">
        <v>654</v>
      </c>
      <c r="N481" t="s">
        <v>163</v>
      </c>
      <c r="O481" t="s">
        <v>133</v>
      </c>
      <c r="P481" t="s">
        <v>133</v>
      </c>
      <c r="Q481" t="s">
        <v>51</v>
      </c>
      <c r="R481" t="s">
        <v>51</v>
      </c>
      <c r="S481" t="s">
        <v>51</v>
      </c>
      <c r="T481" t="s">
        <v>51</v>
      </c>
    </row>
    <row r="482" spans="1:20">
      <c r="A482" t="s">
        <v>638</v>
      </c>
      <c r="B482" t="s">
        <v>129</v>
      </c>
      <c r="C482" t="s">
        <v>49</v>
      </c>
      <c r="D482" t="s">
        <v>51</v>
      </c>
      <c r="E482" t="s">
        <v>51</v>
      </c>
      <c r="F482" t="s">
        <v>51</v>
      </c>
      <c r="G482" t="s">
        <v>52</v>
      </c>
      <c r="H482" t="s">
        <v>52</v>
      </c>
      <c r="I482" t="s">
        <v>52</v>
      </c>
      <c r="J482" t="s">
        <v>590</v>
      </c>
      <c r="K482" t="s">
        <v>52</v>
      </c>
      <c r="L482" t="s">
        <v>656</v>
      </c>
      <c r="M482" t="s">
        <v>654</v>
      </c>
      <c r="N482" t="s">
        <v>163</v>
      </c>
      <c r="O482" t="s">
        <v>133</v>
      </c>
      <c r="P482" t="s">
        <v>133</v>
      </c>
      <c r="Q482" t="s">
        <v>51</v>
      </c>
      <c r="R482" t="s">
        <v>51</v>
      </c>
      <c r="S482" t="s">
        <v>51</v>
      </c>
      <c r="T482" t="s">
        <v>51</v>
      </c>
    </row>
    <row r="483" spans="1:20">
      <c r="A483" t="s">
        <v>639</v>
      </c>
      <c r="B483" t="s">
        <v>131</v>
      </c>
      <c r="C483" t="s">
        <v>49</v>
      </c>
      <c r="D483" t="s">
        <v>51</v>
      </c>
      <c r="E483" t="s">
        <v>51</v>
      </c>
      <c r="F483" t="s">
        <v>51</v>
      </c>
      <c r="G483" t="s">
        <v>52</v>
      </c>
      <c r="H483" t="s">
        <v>52</v>
      </c>
      <c r="I483" t="s">
        <v>52</v>
      </c>
      <c r="J483" t="s">
        <v>590</v>
      </c>
      <c r="K483" t="s">
        <v>52</v>
      </c>
      <c r="L483" t="s">
        <v>656</v>
      </c>
      <c r="M483" t="s">
        <v>654</v>
      </c>
      <c r="N483" t="s">
        <v>163</v>
      </c>
      <c r="O483" t="s">
        <v>133</v>
      </c>
      <c r="P483" t="s">
        <v>133</v>
      </c>
      <c r="Q483" t="s">
        <v>51</v>
      </c>
      <c r="R483" t="s">
        <v>51</v>
      </c>
      <c r="S483" t="s">
        <v>51</v>
      </c>
      <c r="T483" t="s">
        <v>51</v>
      </c>
    </row>
    <row r="484" spans="1:20">
      <c r="A484" t="s">
        <v>640</v>
      </c>
      <c r="B484" t="s">
        <v>133</v>
      </c>
      <c r="C484" t="s">
        <v>49</v>
      </c>
      <c r="D484" t="s">
        <v>51</v>
      </c>
      <c r="E484" t="s">
        <v>51</v>
      </c>
      <c r="F484" t="s">
        <v>51</v>
      </c>
      <c r="G484" t="s">
        <v>52</v>
      </c>
      <c r="H484" t="s">
        <v>52</v>
      </c>
      <c r="I484" t="s">
        <v>52</v>
      </c>
      <c r="J484" t="s">
        <v>590</v>
      </c>
      <c r="K484" t="s">
        <v>52</v>
      </c>
      <c r="L484" t="s">
        <v>656</v>
      </c>
      <c r="M484" t="s">
        <v>654</v>
      </c>
      <c r="N484" t="s">
        <v>163</v>
      </c>
      <c r="O484" t="s">
        <v>133</v>
      </c>
      <c r="P484" t="s">
        <v>133</v>
      </c>
      <c r="Q484" t="s">
        <v>51</v>
      </c>
      <c r="R484" t="s">
        <v>51</v>
      </c>
      <c r="S484" t="s">
        <v>51</v>
      </c>
      <c r="T484" t="s">
        <v>51</v>
      </c>
    </row>
    <row r="485" spans="1:20">
      <c r="A485" t="s">
        <v>641</v>
      </c>
      <c r="B485" t="s">
        <v>135</v>
      </c>
      <c r="C485" t="s">
        <v>49</v>
      </c>
      <c r="D485" t="s">
        <v>51</v>
      </c>
      <c r="E485" t="s">
        <v>51</v>
      </c>
      <c r="F485" t="s">
        <v>51</v>
      </c>
      <c r="G485" t="s">
        <v>52</v>
      </c>
      <c r="H485" t="s">
        <v>52</v>
      </c>
      <c r="I485" t="s">
        <v>52</v>
      </c>
      <c r="J485" t="s">
        <v>590</v>
      </c>
      <c r="K485" t="s">
        <v>52</v>
      </c>
      <c r="L485" t="s">
        <v>656</v>
      </c>
      <c r="M485" t="s">
        <v>654</v>
      </c>
      <c r="N485" t="s">
        <v>163</v>
      </c>
      <c r="O485" t="s">
        <v>133</v>
      </c>
      <c r="P485" t="s">
        <v>133</v>
      </c>
      <c r="Q485" t="s">
        <v>51</v>
      </c>
      <c r="R485" t="s">
        <v>51</v>
      </c>
      <c r="S485" t="s">
        <v>51</v>
      </c>
      <c r="T485" t="s">
        <v>51</v>
      </c>
    </row>
    <row r="486" spans="1:20">
      <c r="A486" t="s">
        <v>642</v>
      </c>
      <c r="B486" t="s">
        <v>137</v>
      </c>
      <c r="C486" t="s">
        <v>49</v>
      </c>
      <c r="D486" t="s">
        <v>51</v>
      </c>
      <c r="E486" t="s">
        <v>51</v>
      </c>
      <c r="F486" t="s">
        <v>51</v>
      </c>
      <c r="G486" t="s">
        <v>52</v>
      </c>
      <c r="H486" t="s">
        <v>52</v>
      </c>
      <c r="I486" t="s">
        <v>52</v>
      </c>
      <c r="J486" t="s">
        <v>590</v>
      </c>
      <c r="K486" t="s">
        <v>52</v>
      </c>
      <c r="L486" t="s">
        <v>656</v>
      </c>
      <c r="M486" t="s">
        <v>654</v>
      </c>
      <c r="N486" t="s">
        <v>163</v>
      </c>
      <c r="O486" t="s">
        <v>133</v>
      </c>
      <c r="P486" t="s">
        <v>133</v>
      </c>
      <c r="Q486" t="s">
        <v>51</v>
      </c>
      <c r="R486" t="s">
        <v>51</v>
      </c>
      <c r="S486" t="s">
        <v>51</v>
      </c>
      <c r="T486" t="s">
        <v>51</v>
      </c>
    </row>
    <row r="487" spans="1:20">
      <c r="A487" t="s">
        <v>643</v>
      </c>
      <c r="B487" t="s">
        <v>139</v>
      </c>
      <c r="C487" t="s">
        <v>49</v>
      </c>
      <c r="D487" t="s">
        <v>51</v>
      </c>
      <c r="E487" t="s">
        <v>51</v>
      </c>
      <c r="F487" t="s">
        <v>51</v>
      </c>
      <c r="G487" t="s">
        <v>52</v>
      </c>
      <c r="H487" t="s">
        <v>52</v>
      </c>
      <c r="I487" t="s">
        <v>52</v>
      </c>
      <c r="J487" t="s">
        <v>590</v>
      </c>
      <c r="K487" t="s">
        <v>52</v>
      </c>
      <c r="L487" t="s">
        <v>656</v>
      </c>
      <c r="M487" t="s">
        <v>654</v>
      </c>
      <c r="N487" t="s">
        <v>163</v>
      </c>
      <c r="O487" t="s">
        <v>133</v>
      </c>
      <c r="P487" t="s">
        <v>133</v>
      </c>
      <c r="Q487" t="s">
        <v>51</v>
      </c>
      <c r="R487" t="s">
        <v>51</v>
      </c>
      <c r="S487" t="s">
        <v>51</v>
      </c>
      <c r="T487" t="s">
        <v>51</v>
      </c>
    </row>
    <row r="488" spans="1:20">
      <c r="A488" t="s">
        <v>644</v>
      </c>
      <c r="B488" t="s">
        <v>141</v>
      </c>
      <c r="C488" t="s">
        <v>49</v>
      </c>
      <c r="D488" t="s">
        <v>51</v>
      </c>
      <c r="E488" t="s">
        <v>51</v>
      </c>
      <c r="F488" t="s">
        <v>51</v>
      </c>
      <c r="G488" t="s">
        <v>52</v>
      </c>
      <c r="H488" t="s">
        <v>52</v>
      </c>
      <c r="I488" t="s">
        <v>52</v>
      </c>
      <c r="J488" t="s">
        <v>590</v>
      </c>
      <c r="K488" t="s">
        <v>52</v>
      </c>
      <c r="L488" t="s">
        <v>656</v>
      </c>
      <c r="M488" t="s">
        <v>654</v>
      </c>
      <c r="N488" t="s">
        <v>163</v>
      </c>
      <c r="O488" t="s">
        <v>133</v>
      </c>
      <c r="P488" t="s">
        <v>133</v>
      </c>
      <c r="Q488" t="s">
        <v>51</v>
      </c>
      <c r="R488" t="s">
        <v>51</v>
      </c>
      <c r="S488" t="s">
        <v>51</v>
      </c>
      <c r="T488" t="s">
        <v>51</v>
      </c>
    </row>
    <row r="489" spans="1:20">
      <c r="A489" t="s">
        <v>645</v>
      </c>
      <c r="B489" t="s">
        <v>143</v>
      </c>
      <c r="C489" t="s">
        <v>49</v>
      </c>
      <c r="D489" t="s">
        <v>51</v>
      </c>
      <c r="E489" t="s">
        <v>51</v>
      </c>
      <c r="F489" t="s">
        <v>51</v>
      </c>
      <c r="G489" t="s">
        <v>52</v>
      </c>
      <c r="H489" t="s">
        <v>52</v>
      </c>
      <c r="I489" t="s">
        <v>52</v>
      </c>
      <c r="J489" t="s">
        <v>590</v>
      </c>
      <c r="K489" t="s">
        <v>52</v>
      </c>
      <c r="L489" t="s">
        <v>656</v>
      </c>
      <c r="M489" t="s">
        <v>654</v>
      </c>
      <c r="N489" t="s">
        <v>163</v>
      </c>
      <c r="O489" t="s">
        <v>133</v>
      </c>
      <c r="P489" t="s">
        <v>133</v>
      </c>
      <c r="Q489" t="s">
        <v>51</v>
      </c>
      <c r="R489" t="s">
        <v>51</v>
      </c>
      <c r="S489" t="s">
        <v>51</v>
      </c>
      <c r="T489" t="s">
        <v>51</v>
      </c>
    </row>
    <row r="490" spans="1:20">
      <c r="A490" t="s">
        <v>646</v>
      </c>
      <c r="B490" t="s">
        <v>145</v>
      </c>
      <c r="C490" t="s">
        <v>49</v>
      </c>
      <c r="D490" t="s">
        <v>51</v>
      </c>
      <c r="E490" t="s">
        <v>51</v>
      </c>
      <c r="F490" t="s">
        <v>51</v>
      </c>
      <c r="G490" t="s">
        <v>52</v>
      </c>
      <c r="H490" t="s">
        <v>52</v>
      </c>
      <c r="I490" t="s">
        <v>52</v>
      </c>
      <c r="J490" t="s">
        <v>590</v>
      </c>
      <c r="K490" t="s">
        <v>52</v>
      </c>
      <c r="L490" t="s">
        <v>656</v>
      </c>
      <c r="M490" t="s">
        <v>654</v>
      </c>
      <c r="N490" t="s">
        <v>163</v>
      </c>
      <c r="O490" t="s">
        <v>133</v>
      </c>
      <c r="P490" t="s">
        <v>133</v>
      </c>
      <c r="Q490" t="s">
        <v>51</v>
      </c>
      <c r="R490" t="s">
        <v>51</v>
      </c>
      <c r="S490" t="s">
        <v>51</v>
      </c>
      <c r="T490" t="s">
        <v>51</v>
      </c>
    </row>
    <row r="491" spans="1:20">
      <c r="A491" t="s">
        <v>647</v>
      </c>
      <c r="B491" t="s">
        <v>147</v>
      </c>
      <c r="C491" t="s">
        <v>49</v>
      </c>
      <c r="D491" t="s">
        <v>51</v>
      </c>
      <c r="E491" t="s">
        <v>51</v>
      </c>
      <c r="F491" t="s">
        <v>51</v>
      </c>
      <c r="G491" t="s">
        <v>52</v>
      </c>
      <c r="H491" t="s">
        <v>52</v>
      </c>
      <c r="I491" t="s">
        <v>52</v>
      </c>
      <c r="J491" t="s">
        <v>590</v>
      </c>
      <c r="K491" t="s">
        <v>52</v>
      </c>
      <c r="L491" t="s">
        <v>656</v>
      </c>
      <c r="M491" t="s">
        <v>654</v>
      </c>
      <c r="N491" t="s">
        <v>163</v>
      </c>
      <c r="O491" t="s">
        <v>133</v>
      </c>
      <c r="P491" t="s">
        <v>133</v>
      </c>
      <c r="Q491" t="s">
        <v>51</v>
      </c>
      <c r="R491" t="s">
        <v>51</v>
      </c>
      <c r="S491" t="s">
        <v>51</v>
      </c>
      <c r="T491" t="s">
        <v>51</v>
      </c>
    </row>
    <row r="492" spans="1:20">
      <c r="A492" t="s">
        <v>648</v>
      </c>
      <c r="B492" t="s">
        <v>149</v>
      </c>
      <c r="C492" t="s">
        <v>49</v>
      </c>
      <c r="D492" t="s">
        <v>51</v>
      </c>
      <c r="E492" t="s">
        <v>51</v>
      </c>
      <c r="F492" t="s">
        <v>51</v>
      </c>
      <c r="G492" t="s">
        <v>52</v>
      </c>
      <c r="H492" t="s">
        <v>52</v>
      </c>
      <c r="I492" t="s">
        <v>52</v>
      </c>
      <c r="J492" t="s">
        <v>590</v>
      </c>
      <c r="K492" t="s">
        <v>52</v>
      </c>
      <c r="L492" t="s">
        <v>656</v>
      </c>
      <c r="M492" t="s">
        <v>654</v>
      </c>
      <c r="N492" t="s">
        <v>163</v>
      </c>
      <c r="O492" t="s">
        <v>133</v>
      </c>
      <c r="P492" t="s">
        <v>133</v>
      </c>
      <c r="Q492" t="s">
        <v>51</v>
      </c>
      <c r="R492" t="s">
        <v>51</v>
      </c>
      <c r="S492" t="s">
        <v>51</v>
      </c>
      <c r="T492" t="s">
        <v>51</v>
      </c>
    </row>
    <row r="493" spans="1:20">
      <c r="A493" t="s">
        <v>649</v>
      </c>
      <c r="B493" t="s">
        <v>151</v>
      </c>
      <c r="C493" t="s">
        <v>49</v>
      </c>
      <c r="D493" t="s">
        <v>51</v>
      </c>
      <c r="E493" t="s">
        <v>51</v>
      </c>
      <c r="F493" t="s">
        <v>51</v>
      </c>
      <c r="G493" t="s">
        <v>52</v>
      </c>
      <c r="H493" t="s">
        <v>52</v>
      </c>
      <c r="I493" t="s">
        <v>52</v>
      </c>
      <c r="J493" t="s">
        <v>590</v>
      </c>
      <c r="K493" t="s">
        <v>52</v>
      </c>
      <c r="L493" t="s">
        <v>656</v>
      </c>
      <c r="M493" t="s">
        <v>654</v>
      </c>
      <c r="N493" t="s">
        <v>163</v>
      </c>
      <c r="O493" t="s">
        <v>133</v>
      </c>
      <c r="P493" t="s">
        <v>133</v>
      </c>
      <c r="Q493" t="s">
        <v>51</v>
      </c>
      <c r="R493" t="s">
        <v>51</v>
      </c>
      <c r="S493" t="s">
        <v>51</v>
      </c>
      <c r="T493" t="s">
        <v>51</v>
      </c>
    </row>
    <row r="494" spans="1:20">
      <c r="A494" t="s">
        <v>650</v>
      </c>
      <c r="B494" t="s">
        <v>153</v>
      </c>
      <c r="C494" t="s">
        <v>49</v>
      </c>
      <c r="D494" t="s">
        <v>51</v>
      </c>
      <c r="E494" t="s">
        <v>51</v>
      </c>
      <c r="F494" t="s">
        <v>51</v>
      </c>
      <c r="G494" t="s">
        <v>52</v>
      </c>
      <c r="H494" t="s">
        <v>52</v>
      </c>
      <c r="I494" t="s">
        <v>52</v>
      </c>
      <c r="J494" t="s">
        <v>590</v>
      </c>
      <c r="K494" t="s">
        <v>52</v>
      </c>
      <c r="L494" t="s">
        <v>656</v>
      </c>
      <c r="M494" t="s">
        <v>654</v>
      </c>
      <c r="N494" t="s">
        <v>163</v>
      </c>
      <c r="O494" t="s">
        <v>133</v>
      </c>
      <c r="P494" t="s">
        <v>133</v>
      </c>
      <c r="Q494" t="s">
        <v>51</v>
      </c>
      <c r="R494" t="s">
        <v>51</v>
      </c>
      <c r="S494" t="s">
        <v>51</v>
      </c>
      <c r="T494" t="s">
        <v>51</v>
      </c>
    </row>
    <row r="495" spans="1:20">
      <c r="A495" t="s">
        <v>588</v>
      </c>
      <c r="B495" t="s">
        <v>589</v>
      </c>
      <c r="C495" t="s">
        <v>165</v>
      </c>
      <c r="D495" t="s">
        <v>50</v>
      </c>
      <c r="E495" t="s">
        <v>51</v>
      </c>
      <c r="F495" t="s">
        <v>51</v>
      </c>
      <c r="G495" t="s">
        <v>52</v>
      </c>
      <c r="H495" t="s">
        <v>52</v>
      </c>
      <c r="I495" t="s">
        <v>52</v>
      </c>
      <c r="J495" t="s">
        <v>52</v>
      </c>
      <c r="K495" t="s">
        <v>52</v>
      </c>
      <c r="L495" t="s">
        <v>657</v>
      </c>
      <c r="M495" t="s">
        <v>654</v>
      </c>
      <c r="N495" t="s">
        <v>163</v>
      </c>
      <c r="O495" t="s">
        <v>135</v>
      </c>
      <c r="P495" t="s">
        <v>135</v>
      </c>
      <c r="Q495" t="s">
        <v>51</v>
      </c>
      <c r="R495" t="s">
        <v>51</v>
      </c>
      <c r="S495" t="s">
        <v>51</v>
      </c>
      <c r="T495" t="s">
        <v>51</v>
      </c>
    </row>
    <row r="496" spans="1:20">
      <c r="A496" t="s">
        <v>604</v>
      </c>
      <c r="B496" t="s">
        <v>62</v>
      </c>
      <c r="C496" t="s">
        <v>49</v>
      </c>
      <c r="D496" t="s">
        <v>51</v>
      </c>
      <c r="E496" t="s">
        <v>51</v>
      </c>
      <c r="F496" t="s">
        <v>51</v>
      </c>
      <c r="G496" t="s">
        <v>52</v>
      </c>
      <c r="H496" t="s">
        <v>52</v>
      </c>
      <c r="I496" t="s">
        <v>52</v>
      </c>
      <c r="J496" t="s">
        <v>590</v>
      </c>
      <c r="K496" t="s">
        <v>52</v>
      </c>
      <c r="L496" t="s">
        <v>657</v>
      </c>
      <c r="M496" t="s">
        <v>654</v>
      </c>
      <c r="N496" t="s">
        <v>163</v>
      </c>
      <c r="O496" t="s">
        <v>135</v>
      </c>
      <c r="P496" t="s">
        <v>135</v>
      </c>
      <c r="Q496" t="s">
        <v>51</v>
      </c>
      <c r="R496" t="s">
        <v>51</v>
      </c>
      <c r="S496" t="s">
        <v>51</v>
      </c>
      <c r="T496" t="s">
        <v>51</v>
      </c>
    </row>
    <row r="497" spans="1:20">
      <c r="A497" t="s">
        <v>605</v>
      </c>
      <c r="B497" t="s">
        <v>56</v>
      </c>
      <c r="C497" t="s">
        <v>49</v>
      </c>
      <c r="D497" t="s">
        <v>51</v>
      </c>
      <c r="E497" t="s">
        <v>51</v>
      </c>
      <c r="F497" t="s">
        <v>51</v>
      </c>
      <c r="G497" t="s">
        <v>52</v>
      </c>
      <c r="H497" t="s">
        <v>52</v>
      </c>
      <c r="I497" t="s">
        <v>52</v>
      </c>
      <c r="J497" t="s">
        <v>590</v>
      </c>
      <c r="K497" t="s">
        <v>52</v>
      </c>
      <c r="L497" t="s">
        <v>657</v>
      </c>
      <c r="M497" t="s">
        <v>654</v>
      </c>
      <c r="N497" t="s">
        <v>163</v>
      </c>
      <c r="O497" t="s">
        <v>135</v>
      </c>
      <c r="P497" t="s">
        <v>135</v>
      </c>
      <c r="Q497" t="s">
        <v>51</v>
      </c>
      <c r="R497" t="s">
        <v>51</v>
      </c>
      <c r="S497" t="s">
        <v>51</v>
      </c>
      <c r="T497" t="s">
        <v>51</v>
      </c>
    </row>
    <row r="498" spans="1:20">
      <c r="A498" t="s">
        <v>606</v>
      </c>
      <c r="B498" t="s">
        <v>65</v>
      </c>
      <c r="C498" t="s">
        <v>49</v>
      </c>
      <c r="D498" t="s">
        <v>51</v>
      </c>
      <c r="E498" t="s">
        <v>51</v>
      </c>
      <c r="F498" t="s">
        <v>51</v>
      </c>
      <c r="G498" t="s">
        <v>52</v>
      </c>
      <c r="H498" t="s">
        <v>52</v>
      </c>
      <c r="I498" t="s">
        <v>52</v>
      </c>
      <c r="J498" t="s">
        <v>590</v>
      </c>
      <c r="K498" t="s">
        <v>52</v>
      </c>
      <c r="L498" t="s">
        <v>657</v>
      </c>
      <c r="M498" t="s">
        <v>654</v>
      </c>
      <c r="N498" t="s">
        <v>163</v>
      </c>
      <c r="O498" t="s">
        <v>135</v>
      </c>
      <c r="P498" t="s">
        <v>135</v>
      </c>
      <c r="Q498" t="s">
        <v>51</v>
      </c>
      <c r="R498" t="s">
        <v>51</v>
      </c>
      <c r="S498" t="s">
        <v>51</v>
      </c>
      <c r="T498" t="s">
        <v>51</v>
      </c>
    </row>
    <row r="499" spans="1:20">
      <c r="A499" t="s">
        <v>607</v>
      </c>
      <c r="B499" t="s">
        <v>67</v>
      </c>
      <c r="C499" t="s">
        <v>49</v>
      </c>
      <c r="D499" t="s">
        <v>51</v>
      </c>
      <c r="E499" t="s">
        <v>51</v>
      </c>
      <c r="F499" t="s">
        <v>51</v>
      </c>
      <c r="G499" t="s">
        <v>52</v>
      </c>
      <c r="H499" t="s">
        <v>52</v>
      </c>
      <c r="I499" t="s">
        <v>52</v>
      </c>
      <c r="J499" t="s">
        <v>590</v>
      </c>
      <c r="K499" t="s">
        <v>52</v>
      </c>
      <c r="L499" t="s">
        <v>657</v>
      </c>
      <c r="M499" t="s">
        <v>654</v>
      </c>
      <c r="N499" t="s">
        <v>163</v>
      </c>
      <c r="O499" t="s">
        <v>135</v>
      </c>
      <c r="P499" t="s">
        <v>135</v>
      </c>
      <c r="Q499" t="s">
        <v>51</v>
      </c>
      <c r="R499" t="s">
        <v>51</v>
      </c>
      <c r="S499" t="s">
        <v>51</v>
      </c>
      <c r="T499" t="s">
        <v>51</v>
      </c>
    </row>
    <row r="500" spans="1:20">
      <c r="A500" t="s">
        <v>608</v>
      </c>
      <c r="B500" t="s">
        <v>69</v>
      </c>
      <c r="C500" t="s">
        <v>49</v>
      </c>
      <c r="D500" t="s">
        <v>51</v>
      </c>
      <c r="E500" t="s">
        <v>51</v>
      </c>
      <c r="F500" t="s">
        <v>51</v>
      </c>
      <c r="G500" t="s">
        <v>52</v>
      </c>
      <c r="H500" t="s">
        <v>52</v>
      </c>
      <c r="I500" t="s">
        <v>52</v>
      </c>
      <c r="J500" t="s">
        <v>590</v>
      </c>
      <c r="K500" t="s">
        <v>52</v>
      </c>
      <c r="L500" t="s">
        <v>657</v>
      </c>
      <c r="M500" t="s">
        <v>654</v>
      </c>
      <c r="N500" t="s">
        <v>163</v>
      </c>
      <c r="O500" t="s">
        <v>135</v>
      </c>
      <c r="P500" t="s">
        <v>135</v>
      </c>
      <c r="Q500" t="s">
        <v>51</v>
      </c>
      <c r="R500" t="s">
        <v>51</v>
      </c>
      <c r="S500" t="s">
        <v>51</v>
      </c>
      <c r="T500" t="s">
        <v>51</v>
      </c>
    </row>
    <row r="501" spans="1:20">
      <c r="A501" t="s">
        <v>609</v>
      </c>
      <c r="B501" t="s">
        <v>71</v>
      </c>
      <c r="C501" t="s">
        <v>49</v>
      </c>
      <c r="D501" t="s">
        <v>51</v>
      </c>
      <c r="E501" t="s">
        <v>51</v>
      </c>
      <c r="F501" t="s">
        <v>51</v>
      </c>
      <c r="G501" t="s">
        <v>52</v>
      </c>
      <c r="H501" t="s">
        <v>52</v>
      </c>
      <c r="I501" t="s">
        <v>52</v>
      </c>
      <c r="J501" t="s">
        <v>590</v>
      </c>
      <c r="K501" t="s">
        <v>52</v>
      </c>
      <c r="L501" t="s">
        <v>657</v>
      </c>
      <c r="M501" t="s">
        <v>654</v>
      </c>
      <c r="N501" t="s">
        <v>163</v>
      </c>
      <c r="O501" t="s">
        <v>135</v>
      </c>
      <c r="P501" t="s">
        <v>135</v>
      </c>
      <c r="Q501" t="s">
        <v>51</v>
      </c>
      <c r="R501" t="s">
        <v>51</v>
      </c>
      <c r="S501" t="s">
        <v>51</v>
      </c>
      <c r="T501" t="s">
        <v>51</v>
      </c>
    </row>
    <row r="502" spans="1:20">
      <c r="A502" t="s">
        <v>610</v>
      </c>
      <c r="B502" t="s">
        <v>73</v>
      </c>
      <c r="C502" t="s">
        <v>49</v>
      </c>
      <c r="D502" t="s">
        <v>51</v>
      </c>
      <c r="E502" t="s">
        <v>51</v>
      </c>
      <c r="F502" t="s">
        <v>51</v>
      </c>
      <c r="G502" t="s">
        <v>52</v>
      </c>
      <c r="H502" t="s">
        <v>52</v>
      </c>
      <c r="I502" t="s">
        <v>52</v>
      </c>
      <c r="J502" t="s">
        <v>590</v>
      </c>
      <c r="K502" t="s">
        <v>52</v>
      </c>
      <c r="L502" t="s">
        <v>657</v>
      </c>
      <c r="M502" t="s">
        <v>654</v>
      </c>
      <c r="N502" t="s">
        <v>163</v>
      </c>
      <c r="O502" t="s">
        <v>135</v>
      </c>
      <c r="P502" t="s">
        <v>135</v>
      </c>
      <c r="Q502" t="s">
        <v>51</v>
      </c>
      <c r="R502" t="s">
        <v>51</v>
      </c>
      <c r="S502" t="s">
        <v>51</v>
      </c>
      <c r="T502" t="s">
        <v>51</v>
      </c>
    </row>
    <row r="503" spans="1:20">
      <c r="A503" t="s">
        <v>611</v>
      </c>
      <c r="B503" t="s">
        <v>75</v>
      </c>
      <c r="C503" t="s">
        <v>49</v>
      </c>
      <c r="D503" t="s">
        <v>51</v>
      </c>
      <c r="E503" t="s">
        <v>51</v>
      </c>
      <c r="F503" t="s">
        <v>51</v>
      </c>
      <c r="G503" t="s">
        <v>52</v>
      </c>
      <c r="H503" t="s">
        <v>52</v>
      </c>
      <c r="I503" t="s">
        <v>52</v>
      </c>
      <c r="J503" t="s">
        <v>590</v>
      </c>
      <c r="K503" t="s">
        <v>52</v>
      </c>
      <c r="L503" t="s">
        <v>657</v>
      </c>
      <c r="M503" t="s">
        <v>654</v>
      </c>
      <c r="N503" t="s">
        <v>163</v>
      </c>
      <c r="O503" t="s">
        <v>135</v>
      </c>
      <c r="P503" t="s">
        <v>135</v>
      </c>
      <c r="Q503" t="s">
        <v>51</v>
      </c>
      <c r="R503" t="s">
        <v>51</v>
      </c>
      <c r="S503" t="s">
        <v>51</v>
      </c>
      <c r="T503" t="s">
        <v>51</v>
      </c>
    </row>
    <row r="504" spans="1:20">
      <c r="A504" t="s">
        <v>612</v>
      </c>
      <c r="B504" t="s">
        <v>77</v>
      </c>
      <c r="C504" t="s">
        <v>49</v>
      </c>
      <c r="D504" t="s">
        <v>51</v>
      </c>
      <c r="E504" t="s">
        <v>51</v>
      </c>
      <c r="F504" t="s">
        <v>51</v>
      </c>
      <c r="G504" t="s">
        <v>52</v>
      </c>
      <c r="H504" t="s">
        <v>52</v>
      </c>
      <c r="I504" t="s">
        <v>52</v>
      </c>
      <c r="J504" t="s">
        <v>590</v>
      </c>
      <c r="K504" t="s">
        <v>52</v>
      </c>
      <c r="L504" t="s">
        <v>657</v>
      </c>
      <c r="M504" t="s">
        <v>654</v>
      </c>
      <c r="N504" t="s">
        <v>163</v>
      </c>
      <c r="O504" t="s">
        <v>135</v>
      </c>
      <c r="P504" t="s">
        <v>135</v>
      </c>
      <c r="Q504" t="s">
        <v>51</v>
      </c>
      <c r="R504" t="s">
        <v>51</v>
      </c>
      <c r="S504" t="s">
        <v>51</v>
      </c>
      <c r="T504" t="s">
        <v>51</v>
      </c>
    </row>
    <row r="505" spans="1:20">
      <c r="A505" t="s">
        <v>613</v>
      </c>
      <c r="B505" t="s">
        <v>79</v>
      </c>
      <c r="C505" t="s">
        <v>49</v>
      </c>
      <c r="D505" t="s">
        <v>51</v>
      </c>
      <c r="E505" t="s">
        <v>51</v>
      </c>
      <c r="F505" t="s">
        <v>51</v>
      </c>
      <c r="G505" t="s">
        <v>52</v>
      </c>
      <c r="H505" t="s">
        <v>52</v>
      </c>
      <c r="I505" t="s">
        <v>52</v>
      </c>
      <c r="J505" t="s">
        <v>590</v>
      </c>
      <c r="K505" t="s">
        <v>52</v>
      </c>
      <c r="L505" t="s">
        <v>657</v>
      </c>
      <c r="M505" t="s">
        <v>654</v>
      </c>
      <c r="N505" t="s">
        <v>163</v>
      </c>
      <c r="O505" t="s">
        <v>135</v>
      </c>
      <c r="P505" t="s">
        <v>135</v>
      </c>
      <c r="Q505" t="s">
        <v>51</v>
      </c>
      <c r="R505" t="s">
        <v>51</v>
      </c>
      <c r="S505" t="s">
        <v>51</v>
      </c>
      <c r="T505" t="s">
        <v>51</v>
      </c>
    </row>
    <row r="506" spans="1:20">
      <c r="A506" t="s">
        <v>614</v>
      </c>
      <c r="B506" t="s">
        <v>81</v>
      </c>
      <c r="C506" t="s">
        <v>49</v>
      </c>
      <c r="D506" t="s">
        <v>51</v>
      </c>
      <c r="E506" t="s">
        <v>51</v>
      </c>
      <c r="F506" t="s">
        <v>51</v>
      </c>
      <c r="G506" t="s">
        <v>52</v>
      </c>
      <c r="H506" t="s">
        <v>52</v>
      </c>
      <c r="I506" t="s">
        <v>52</v>
      </c>
      <c r="J506" t="s">
        <v>590</v>
      </c>
      <c r="K506" t="s">
        <v>52</v>
      </c>
      <c r="L506" t="s">
        <v>657</v>
      </c>
      <c r="M506" t="s">
        <v>654</v>
      </c>
      <c r="N506" t="s">
        <v>163</v>
      </c>
      <c r="O506" t="s">
        <v>135</v>
      </c>
      <c r="P506" t="s">
        <v>135</v>
      </c>
      <c r="Q506" t="s">
        <v>51</v>
      </c>
      <c r="R506" t="s">
        <v>51</v>
      </c>
      <c r="S506" t="s">
        <v>51</v>
      </c>
      <c r="T506" t="s">
        <v>51</v>
      </c>
    </row>
    <row r="507" spans="1:20">
      <c r="A507" t="s">
        <v>615</v>
      </c>
      <c r="B507" t="s">
        <v>83</v>
      </c>
      <c r="C507" t="s">
        <v>49</v>
      </c>
      <c r="D507" t="s">
        <v>51</v>
      </c>
      <c r="E507" t="s">
        <v>51</v>
      </c>
      <c r="F507" t="s">
        <v>51</v>
      </c>
      <c r="G507" t="s">
        <v>52</v>
      </c>
      <c r="H507" t="s">
        <v>52</v>
      </c>
      <c r="I507" t="s">
        <v>52</v>
      </c>
      <c r="J507" t="s">
        <v>590</v>
      </c>
      <c r="K507" t="s">
        <v>52</v>
      </c>
      <c r="L507" t="s">
        <v>657</v>
      </c>
      <c r="M507" t="s">
        <v>654</v>
      </c>
      <c r="N507" t="s">
        <v>163</v>
      </c>
      <c r="O507" t="s">
        <v>135</v>
      </c>
      <c r="P507" t="s">
        <v>135</v>
      </c>
      <c r="Q507" t="s">
        <v>51</v>
      </c>
      <c r="R507" t="s">
        <v>51</v>
      </c>
      <c r="S507" t="s">
        <v>51</v>
      </c>
      <c r="T507" t="s">
        <v>51</v>
      </c>
    </row>
    <row r="508" spans="1:20">
      <c r="A508" t="s">
        <v>616</v>
      </c>
      <c r="B508" t="s">
        <v>85</v>
      </c>
      <c r="C508" t="s">
        <v>49</v>
      </c>
      <c r="D508" t="s">
        <v>51</v>
      </c>
      <c r="E508" t="s">
        <v>51</v>
      </c>
      <c r="F508" t="s">
        <v>51</v>
      </c>
      <c r="G508" t="s">
        <v>52</v>
      </c>
      <c r="H508" t="s">
        <v>52</v>
      </c>
      <c r="I508" t="s">
        <v>52</v>
      </c>
      <c r="J508" t="s">
        <v>590</v>
      </c>
      <c r="K508" t="s">
        <v>52</v>
      </c>
      <c r="L508" t="s">
        <v>657</v>
      </c>
      <c r="M508" t="s">
        <v>654</v>
      </c>
      <c r="N508" t="s">
        <v>163</v>
      </c>
      <c r="O508" t="s">
        <v>135</v>
      </c>
      <c r="P508" t="s">
        <v>135</v>
      </c>
      <c r="Q508" t="s">
        <v>51</v>
      </c>
      <c r="R508" t="s">
        <v>51</v>
      </c>
      <c r="S508" t="s">
        <v>51</v>
      </c>
      <c r="T508" t="s">
        <v>51</v>
      </c>
    </row>
    <row r="509" spans="1:20">
      <c r="A509" t="s">
        <v>617</v>
      </c>
      <c r="B509" t="s">
        <v>87</v>
      </c>
      <c r="C509" t="s">
        <v>49</v>
      </c>
      <c r="D509" t="s">
        <v>51</v>
      </c>
      <c r="E509" t="s">
        <v>51</v>
      </c>
      <c r="F509" t="s">
        <v>51</v>
      </c>
      <c r="G509" t="s">
        <v>52</v>
      </c>
      <c r="H509" t="s">
        <v>52</v>
      </c>
      <c r="I509" t="s">
        <v>52</v>
      </c>
      <c r="J509" t="s">
        <v>590</v>
      </c>
      <c r="K509" t="s">
        <v>52</v>
      </c>
      <c r="L509" t="s">
        <v>657</v>
      </c>
      <c r="M509" t="s">
        <v>654</v>
      </c>
      <c r="N509" t="s">
        <v>163</v>
      </c>
      <c r="O509" t="s">
        <v>135</v>
      </c>
      <c r="P509" t="s">
        <v>135</v>
      </c>
      <c r="Q509" t="s">
        <v>51</v>
      </c>
      <c r="R509" t="s">
        <v>51</v>
      </c>
      <c r="S509" t="s">
        <v>51</v>
      </c>
      <c r="T509" t="s">
        <v>51</v>
      </c>
    </row>
    <row r="510" spans="1:20">
      <c r="A510" t="s">
        <v>618</v>
      </c>
      <c r="B510" t="s">
        <v>89</v>
      </c>
      <c r="C510" t="s">
        <v>49</v>
      </c>
      <c r="D510" t="s">
        <v>51</v>
      </c>
      <c r="E510" t="s">
        <v>51</v>
      </c>
      <c r="F510" t="s">
        <v>51</v>
      </c>
      <c r="G510" t="s">
        <v>52</v>
      </c>
      <c r="H510" t="s">
        <v>52</v>
      </c>
      <c r="I510" t="s">
        <v>52</v>
      </c>
      <c r="J510" t="s">
        <v>590</v>
      </c>
      <c r="K510" t="s">
        <v>52</v>
      </c>
      <c r="L510" t="s">
        <v>657</v>
      </c>
      <c r="M510" t="s">
        <v>654</v>
      </c>
      <c r="N510" t="s">
        <v>163</v>
      </c>
      <c r="O510" t="s">
        <v>135</v>
      </c>
      <c r="P510" t="s">
        <v>135</v>
      </c>
      <c r="Q510" t="s">
        <v>51</v>
      </c>
      <c r="R510" t="s">
        <v>51</v>
      </c>
      <c r="S510" t="s">
        <v>51</v>
      </c>
      <c r="T510" t="s">
        <v>51</v>
      </c>
    </row>
    <row r="511" spans="1:20">
      <c r="A511" t="s">
        <v>619</v>
      </c>
      <c r="B511" t="s">
        <v>91</v>
      </c>
      <c r="C511" t="s">
        <v>49</v>
      </c>
      <c r="D511" t="s">
        <v>51</v>
      </c>
      <c r="E511" t="s">
        <v>51</v>
      </c>
      <c r="F511" t="s">
        <v>51</v>
      </c>
      <c r="G511" t="s">
        <v>52</v>
      </c>
      <c r="H511" t="s">
        <v>52</v>
      </c>
      <c r="I511" t="s">
        <v>52</v>
      </c>
      <c r="J511" t="s">
        <v>590</v>
      </c>
      <c r="K511" t="s">
        <v>52</v>
      </c>
      <c r="L511" t="s">
        <v>657</v>
      </c>
      <c r="M511" t="s">
        <v>654</v>
      </c>
      <c r="N511" t="s">
        <v>163</v>
      </c>
      <c r="O511" t="s">
        <v>135</v>
      </c>
      <c r="P511" t="s">
        <v>135</v>
      </c>
      <c r="Q511" t="s">
        <v>51</v>
      </c>
      <c r="R511" t="s">
        <v>51</v>
      </c>
      <c r="S511" t="s">
        <v>51</v>
      </c>
      <c r="T511" t="s">
        <v>51</v>
      </c>
    </row>
    <row r="512" spans="1:20">
      <c r="A512" t="s">
        <v>620</v>
      </c>
      <c r="B512" t="s">
        <v>93</v>
      </c>
      <c r="C512" t="s">
        <v>49</v>
      </c>
      <c r="D512" t="s">
        <v>51</v>
      </c>
      <c r="E512" t="s">
        <v>51</v>
      </c>
      <c r="F512" t="s">
        <v>51</v>
      </c>
      <c r="G512" t="s">
        <v>52</v>
      </c>
      <c r="H512" t="s">
        <v>52</v>
      </c>
      <c r="I512" t="s">
        <v>52</v>
      </c>
      <c r="J512" t="s">
        <v>590</v>
      </c>
      <c r="K512" t="s">
        <v>52</v>
      </c>
      <c r="L512" t="s">
        <v>657</v>
      </c>
      <c r="M512" t="s">
        <v>654</v>
      </c>
      <c r="N512" t="s">
        <v>163</v>
      </c>
      <c r="O512" t="s">
        <v>135</v>
      </c>
      <c r="P512" t="s">
        <v>135</v>
      </c>
      <c r="Q512" t="s">
        <v>51</v>
      </c>
      <c r="R512" t="s">
        <v>51</v>
      </c>
      <c r="S512" t="s">
        <v>51</v>
      </c>
      <c r="T512" t="s">
        <v>51</v>
      </c>
    </row>
    <row r="513" spans="1:20">
      <c r="A513" t="s">
        <v>621</v>
      </c>
      <c r="B513" t="s">
        <v>95</v>
      </c>
      <c r="C513" t="s">
        <v>49</v>
      </c>
      <c r="D513" t="s">
        <v>51</v>
      </c>
      <c r="E513" t="s">
        <v>51</v>
      </c>
      <c r="F513" t="s">
        <v>51</v>
      </c>
      <c r="G513" t="s">
        <v>52</v>
      </c>
      <c r="H513" t="s">
        <v>52</v>
      </c>
      <c r="I513" t="s">
        <v>52</v>
      </c>
      <c r="J513" t="s">
        <v>590</v>
      </c>
      <c r="K513" t="s">
        <v>52</v>
      </c>
      <c r="L513" t="s">
        <v>657</v>
      </c>
      <c r="M513" t="s">
        <v>654</v>
      </c>
      <c r="N513" t="s">
        <v>163</v>
      </c>
      <c r="O513" t="s">
        <v>135</v>
      </c>
      <c r="P513" t="s">
        <v>135</v>
      </c>
      <c r="Q513" t="s">
        <v>51</v>
      </c>
      <c r="R513" t="s">
        <v>51</v>
      </c>
      <c r="S513" t="s">
        <v>51</v>
      </c>
      <c r="T513" t="s">
        <v>51</v>
      </c>
    </row>
    <row r="514" spans="1:20">
      <c r="A514" t="s">
        <v>622</v>
      </c>
      <c r="B514" t="s">
        <v>97</v>
      </c>
      <c r="C514" t="s">
        <v>49</v>
      </c>
      <c r="D514" t="s">
        <v>51</v>
      </c>
      <c r="E514" t="s">
        <v>51</v>
      </c>
      <c r="F514" t="s">
        <v>51</v>
      </c>
      <c r="G514" t="s">
        <v>52</v>
      </c>
      <c r="H514" t="s">
        <v>52</v>
      </c>
      <c r="I514" t="s">
        <v>52</v>
      </c>
      <c r="J514" t="s">
        <v>590</v>
      </c>
      <c r="K514" t="s">
        <v>52</v>
      </c>
      <c r="L514" t="s">
        <v>657</v>
      </c>
      <c r="M514" t="s">
        <v>654</v>
      </c>
      <c r="N514" t="s">
        <v>163</v>
      </c>
      <c r="O514" t="s">
        <v>135</v>
      </c>
      <c r="P514" t="s">
        <v>135</v>
      </c>
      <c r="Q514" t="s">
        <v>51</v>
      </c>
      <c r="R514" t="s">
        <v>51</v>
      </c>
      <c r="S514" t="s">
        <v>51</v>
      </c>
      <c r="T514" t="s">
        <v>51</v>
      </c>
    </row>
    <row r="515" spans="1:20">
      <c r="A515" t="s">
        <v>623</v>
      </c>
      <c r="B515" t="s">
        <v>99</v>
      </c>
      <c r="C515" t="s">
        <v>49</v>
      </c>
      <c r="D515" t="s">
        <v>51</v>
      </c>
      <c r="E515" t="s">
        <v>51</v>
      </c>
      <c r="F515" t="s">
        <v>51</v>
      </c>
      <c r="G515" t="s">
        <v>52</v>
      </c>
      <c r="H515" t="s">
        <v>52</v>
      </c>
      <c r="I515" t="s">
        <v>52</v>
      </c>
      <c r="J515" t="s">
        <v>590</v>
      </c>
      <c r="K515" t="s">
        <v>52</v>
      </c>
      <c r="L515" t="s">
        <v>657</v>
      </c>
      <c r="M515" t="s">
        <v>654</v>
      </c>
      <c r="N515" t="s">
        <v>163</v>
      </c>
      <c r="O515" t="s">
        <v>135</v>
      </c>
      <c r="P515" t="s">
        <v>135</v>
      </c>
      <c r="Q515" t="s">
        <v>51</v>
      </c>
      <c r="R515" t="s">
        <v>51</v>
      </c>
      <c r="S515" t="s">
        <v>51</v>
      </c>
      <c r="T515" t="s">
        <v>51</v>
      </c>
    </row>
    <row r="516" spans="1:20">
      <c r="A516" t="s">
        <v>624</v>
      </c>
      <c r="B516" t="s">
        <v>101</v>
      </c>
      <c r="C516" t="s">
        <v>49</v>
      </c>
      <c r="D516" t="s">
        <v>51</v>
      </c>
      <c r="E516" t="s">
        <v>51</v>
      </c>
      <c r="F516" t="s">
        <v>51</v>
      </c>
      <c r="G516" t="s">
        <v>52</v>
      </c>
      <c r="H516" t="s">
        <v>52</v>
      </c>
      <c r="I516" t="s">
        <v>52</v>
      </c>
      <c r="J516" t="s">
        <v>590</v>
      </c>
      <c r="K516" t="s">
        <v>52</v>
      </c>
      <c r="L516" t="s">
        <v>657</v>
      </c>
      <c r="M516" t="s">
        <v>654</v>
      </c>
      <c r="N516" t="s">
        <v>163</v>
      </c>
      <c r="O516" t="s">
        <v>135</v>
      </c>
      <c r="P516" t="s">
        <v>135</v>
      </c>
      <c r="Q516" t="s">
        <v>51</v>
      </c>
      <c r="R516" t="s">
        <v>51</v>
      </c>
      <c r="S516" t="s">
        <v>51</v>
      </c>
      <c r="T516" t="s">
        <v>51</v>
      </c>
    </row>
    <row r="517" spans="1:20">
      <c r="A517" t="s">
        <v>625</v>
      </c>
      <c r="B517" t="s">
        <v>103</v>
      </c>
      <c r="C517" t="s">
        <v>49</v>
      </c>
      <c r="D517" t="s">
        <v>51</v>
      </c>
      <c r="E517" t="s">
        <v>51</v>
      </c>
      <c r="F517" t="s">
        <v>51</v>
      </c>
      <c r="G517" t="s">
        <v>52</v>
      </c>
      <c r="H517" t="s">
        <v>52</v>
      </c>
      <c r="I517" t="s">
        <v>52</v>
      </c>
      <c r="J517" t="s">
        <v>590</v>
      </c>
      <c r="K517" t="s">
        <v>52</v>
      </c>
      <c r="L517" t="s">
        <v>657</v>
      </c>
      <c r="M517" t="s">
        <v>654</v>
      </c>
      <c r="N517" t="s">
        <v>163</v>
      </c>
      <c r="O517" t="s">
        <v>135</v>
      </c>
      <c r="P517" t="s">
        <v>135</v>
      </c>
      <c r="Q517" t="s">
        <v>51</v>
      </c>
      <c r="R517" t="s">
        <v>51</v>
      </c>
      <c r="S517" t="s">
        <v>51</v>
      </c>
      <c r="T517" t="s">
        <v>51</v>
      </c>
    </row>
    <row r="518" spans="1:20">
      <c r="A518" t="s">
        <v>626</v>
      </c>
      <c r="B518" t="s">
        <v>105</v>
      </c>
      <c r="C518" t="s">
        <v>49</v>
      </c>
      <c r="D518" t="s">
        <v>51</v>
      </c>
      <c r="E518" t="s">
        <v>51</v>
      </c>
      <c r="F518" t="s">
        <v>51</v>
      </c>
      <c r="G518" t="s">
        <v>52</v>
      </c>
      <c r="H518" t="s">
        <v>52</v>
      </c>
      <c r="I518" t="s">
        <v>52</v>
      </c>
      <c r="J518" t="s">
        <v>590</v>
      </c>
      <c r="K518" t="s">
        <v>52</v>
      </c>
      <c r="L518" t="s">
        <v>657</v>
      </c>
      <c r="M518" t="s">
        <v>654</v>
      </c>
      <c r="N518" t="s">
        <v>163</v>
      </c>
      <c r="O518" t="s">
        <v>135</v>
      </c>
      <c r="P518" t="s">
        <v>135</v>
      </c>
      <c r="Q518" t="s">
        <v>51</v>
      </c>
      <c r="R518" t="s">
        <v>51</v>
      </c>
      <c r="S518" t="s">
        <v>51</v>
      </c>
      <c r="T518" t="s">
        <v>51</v>
      </c>
    </row>
    <row r="519" spans="1:20">
      <c r="A519" t="s">
        <v>627</v>
      </c>
      <c r="B519" t="s">
        <v>107</v>
      </c>
      <c r="C519" t="s">
        <v>49</v>
      </c>
      <c r="D519" t="s">
        <v>51</v>
      </c>
      <c r="E519" t="s">
        <v>51</v>
      </c>
      <c r="F519" t="s">
        <v>51</v>
      </c>
      <c r="G519" t="s">
        <v>52</v>
      </c>
      <c r="H519" t="s">
        <v>52</v>
      </c>
      <c r="I519" t="s">
        <v>52</v>
      </c>
      <c r="J519" t="s">
        <v>590</v>
      </c>
      <c r="K519" t="s">
        <v>52</v>
      </c>
      <c r="L519" t="s">
        <v>657</v>
      </c>
      <c r="M519" t="s">
        <v>654</v>
      </c>
      <c r="N519" t="s">
        <v>163</v>
      </c>
      <c r="O519" t="s">
        <v>135</v>
      </c>
      <c r="P519" t="s">
        <v>135</v>
      </c>
      <c r="Q519" t="s">
        <v>51</v>
      </c>
      <c r="R519" t="s">
        <v>51</v>
      </c>
      <c r="S519" t="s">
        <v>51</v>
      </c>
      <c r="T519" t="s">
        <v>51</v>
      </c>
    </row>
    <row r="520" spans="1:20">
      <c r="A520" t="s">
        <v>628</v>
      </c>
      <c r="B520" t="s">
        <v>109</v>
      </c>
      <c r="C520" t="s">
        <v>49</v>
      </c>
      <c r="D520" t="s">
        <v>51</v>
      </c>
      <c r="E520" t="s">
        <v>51</v>
      </c>
      <c r="F520" t="s">
        <v>51</v>
      </c>
      <c r="G520" t="s">
        <v>52</v>
      </c>
      <c r="H520" t="s">
        <v>52</v>
      </c>
      <c r="I520" t="s">
        <v>52</v>
      </c>
      <c r="J520" t="s">
        <v>590</v>
      </c>
      <c r="K520" t="s">
        <v>52</v>
      </c>
      <c r="L520" t="s">
        <v>657</v>
      </c>
      <c r="M520" t="s">
        <v>654</v>
      </c>
      <c r="N520" t="s">
        <v>163</v>
      </c>
      <c r="O520" t="s">
        <v>135</v>
      </c>
      <c r="P520" t="s">
        <v>135</v>
      </c>
      <c r="Q520" t="s">
        <v>51</v>
      </c>
      <c r="R520" t="s">
        <v>51</v>
      </c>
      <c r="S520" t="s">
        <v>51</v>
      </c>
      <c r="T520" t="s">
        <v>51</v>
      </c>
    </row>
    <row r="521" spans="1:20">
      <c r="A521" t="s">
        <v>629</v>
      </c>
      <c r="B521" t="s">
        <v>111</v>
      </c>
      <c r="C521" t="s">
        <v>49</v>
      </c>
      <c r="D521" t="s">
        <v>51</v>
      </c>
      <c r="E521" t="s">
        <v>51</v>
      </c>
      <c r="F521" t="s">
        <v>51</v>
      </c>
      <c r="G521" t="s">
        <v>52</v>
      </c>
      <c r="H521" t="s">
        <v>52</v>
      </c>
      <c r="I521" t="s">
        <v>52</v>
      </c>
      <c r="J521" t="s">
        <v>590</v>
      </c>
      <c r="K521" t="s">
        <v>52</v>
      </c>
      <c r="L521" t="s">
        <v>657</v>
      </c>
      <c r="M521" t="s">
        <v>654</v>
      </c>
      <c r="N521" t="s">
        <v>163</v>
      </c>
      <c r="O521" t="s">
        <v>135</v>
      </c>
      <c r="P521" t="s">
        <v>135</v>
      </c>
      <c r="Q521" t="s">
        <v>51</v>
      </c>
      <c r="R521" t="s">
        <v>51</v>
      </c>
      <c r="S521" t="s">
        <v>51</v>
      </c>
      <c r="T521" t="s">
        <v>51</v>
      </c>
    </row>
    <row r="522" spans="1:20">
      <c r="A522" t="s">
        <v>630</v>
      </c>
      <c r="B522" t="s">
        <v>113</v>
      </c>
      <c r="C522" t="s">
        <v>49</v>
      </c>
      <c r="D522" t="s">
        <v>51</v>
      </c>
      <c r="E522" t="s">
        <v>51</v>
      </c>
      <c r="F522" t="s">
        <v>51</v>
      </c>
      <c r="G522" t="s">
        <v>52</v>
      </c>
      <c r="H522" t="s">
        <v>52</v>
      </c>
      <c r="I522" t="s">
        <v>52</v>
      </c>
      <c r="J522" t="s">
        <v>590</v>
      </c>
      <c r="K522" t="s">
        <v>52</v>
      </c>
      <c r="L522" t="s">
        <v>657</v>
      </c>
      <c r="M522" t="s">
        <v>654</v>
      </c>
      <c r="N522" t="s">
        <v>163</v>
      </c>
      <c r="O522" t="s">
        <v>135</v>
      </c>
      <c r="P522" t="s">
        <v>135</v>
      </c>
      <c r="Q522" t="s">
        <v>51</v>
      </c>
      <c r="R522" t="s">
        <v>51</v>
      </c>
      <c r="S522" t="s">
        <v>51</v>
      </c>
      <c r="T522" t="s">
        <v>51</v>
      </c>
    </row>
    <row r="523" spans="1:20">
      <c r="A523" t="s">
        <v>631</v>
      </c>
      <c r="B523" t="s">
        <v>115</v>
      </c>
      <c r="C523" t="s">
        <v>49</v>
      </c>
      <c r="D523" t="s">
        <v>51</v>
      </c>
      <c r="E523" t="s">
        <v>51</v>
      </c>
      <c r="F523" t="s">
        <v>51</v>
      </c>
      <c r="G523" t="s">
        <v>52</v>
      </c>
      <c r="H523" t="s">
        <v>52</v>
      </c>
      <c r="I523" t="s">
        <v>52</v>
      </c>
      <c r="J523" t="s">
        <v>590</v>
      </c>
      <c r="K523" t="s">
        <v>52</v>
      </c>
      <c r="L523" t="s">
        <v>657</v>
      </c>
      <c r="M523" t="s">
        <v>654</v>
      </c>
      <c r="N523" t="s">
        <v>163</v>
      </c>
      <c r="O523" t="s">
        <v>135</v>
      </c>
      <c r="P523" t="s">
        <v>135</v>
      </c>
      <c r="Q523" t="s">
        <v>51</v>
      </c>
      <c r="R523" t="s">
        <v>51</v>
      </c>
      <c r="S523" t="s">
        <v>51</v>
      </c>
      <c r="T523" t="s">
        <v>51</v>
      </c>
    </row>
    <row r="524" spans="1:20">
      <c r="A524" t="s">
        <v>632</v>
      </c>
      <c r="B524" t="s">
        <v>117</v>
      </c>
      <c r="C524" t="s">
        <v>49</v>
      </c>
      <c r="D524" t="s">
        <v>51</v>
      </c>
      <c r="E524" t="s">
        <v>51</v>
      </c>
      <c r="F524" t="s">
        <v>51</v>
      </c>
      <c r="G524" t="s">
        <v>52</v>
      </c>
      <c r="H524" t="s">
        <v>52</v>
      </c>
      <c r="I524" t="s">
        <v>52</v>
      </c>
      <c r="J524" t="s">
        <v>590</v>
      </c>
      <c r="K524" t="s">
        <v>52</v>
      </c>
      <c r="L524" t="s">
        <v>657</v>
      </c>
      <c r="M524" t="s">
        <v>654</v>
      </c>
      <c r="N524" t="s">
        <v>163</v>
      </c>
      <c r="O524" t="s">
        <v>135</v>
      </c>
      <c r="P524" t="s">
        <v>135</v>
      </c>
      <c r="Q524" t="s">
        <v>51</v>
      </c>
      <c r="R524" t="s">
        <v>51</v>
      </c>
      <c r="S524" t="s">
        <v>51</v>
      </c>
      <c r="T524" t="s">
        <v>51</v>
      </c>
    </row>
    <row r="525" spans="1:20">
      <c r="A525" t="s">
        <v>633</v>
      </c>
      <c r="B525" t="s">
        <v>119</v>
      </c>
      <c r="C525" t="s">
        <v>49</v>
      </c>
      <c r="D525" t="s">
        <v>51</v>
      </c>
      <c r="E525" t="s">
        <v>51</v>
      </c>
      <c r="F525" t="s">
        <v>51</v>
      </c>
      <c r="G525" t="s">
        <v>52</v>
      </c>
      <c r="H525" t="s">
        <v>52</v>
      </c>
      <c r="I525" t="s">
        <v>52</v>
      </c>
      <c r="J525" t="s">
        <v>590</v>
      </c>
      <c r="K525" t="s">
        <v>52</v>
      </c>
      <c r="L525" t="s">
        <v>657</v>
      </c>
      <c r="M525" t="s">
        <v>654</v>
      </c>
      <c r="N525" t="s">
        <v>163</v>
      </c>
      <c r="O525" t="s">
        <v>135</v>
      </c>
      <c r="P525" t="s">
        <v>135</v>
      </c>
      <c r="Q525" t="s">
        <v>51</v>
      </c>
      <c r="R525" t="s">
        <v>51</v>
      </c>
      <c r="S525" t="s">
        <v>51</v>
      </c>
      <c r="T525" t="s">
        <v>51</v>
      </c>
    </row>
    <row r="526" spans="1:20">
      <c r="A526" t="s">
        <v>634</v>
      </c>
      <c r="B526" t="s">
        <v>121</v>
      </c>
      <c r="C526" t="s">
        <v>49</v>
      </c>
      <c r="D526" t="s">
        <v>51</v>
      </c>
      <c r="E526" t="s">
        <v>51</v>
      </c>
      <c r="F526" t="s">
        <v>51</v>
      </c>
      <c r="G526" t="s">
        <v>52</v>
      </c>
      <c r="H526" t="s">
        <v>52</v>
      </c>
      <c r="I526" t="s">
        <v>52</v>
      </c>
      <c r="J526" t="s">
        <v>590</v>
      </c>
      <c r="K526" t="s">
        <v>52</v>
      </c>
      <c r="L526" t="s">
        <v>657</v>
      </c>
      <c r="M526" t="s">
        <v>654</v>
      </c>
      <c r="N526" t="s">
        <v>163</v>
      </c>
      <c r="O526" t="s">
        <v>135</v>
      </c>
      <c r="P526" t="s">
        <v>135</v>
      </c>
      <c r="Q526" t="s">
        <v>51</v>
      </c>
      <c r="R526" t="s">
        <v>51</v>
      </c>
      <c r="S526" t="s">
        <v>51</v>
      </c>
      <c r="T526" t="s">
        <v>51</v>
      </c>
    </row>
    <row r="527" spans="1:20">
      <c r="A527" t="s">
        <v>635</v>
      </c>
      <c r="B527" t="s">
        <v>123</v>
      </c>
      <c r="C527" t="s">
        <v>49</v>
      </c>
      <c r="D527" t="s">
        <v>51</v>
      </c>
      <c r="E527" t="s">
        <v>51</v>
      </c>
      <c r="F527" t="s">
        <v>51</v>
      </c>
      <c r="G527" t="s">
        <v>52</v>
      </c>
      <c r="H527" t="s">
        <v>52</v>
      </c>
      <c r="I527" t="s">
        <v>52</v>
      </c>
      <c r="J527" t="s">
        <v>590</v>
      </c>
      <c r="K527" t="s">
        <v>52</v>
      </c>
      <c r="L527" t="s">
        <v>657</v>
      </c>
      <c r="M527" t="s">
        <v>654</v>
      </c>
      <c r="N527" t="s">
        <v>163</v>
      </c>
      <c r="O527" t="s">
        <v>135</v>
      </c>
      <c r="P527" t="s">
        <v>135</v>
      </c>
      <c r="Q527" t="s">
        <v>51</v>
      </c>
      <c r="R527" t="s">
        <v>51</v>
      </c>
      <c r="S527" t="s">
        <v>51</v>
      </c>
      <c r="T527" t="s">
        <v>51</v>
      </c>
    </row>
    <row r="528" spans="1:20">
      <c r="A528" t="s">
        <v>636</v>
      </c>
      <c r="B528" t="s">
        <v>125</v>
      </c>
      <c r="C528" t="s">
        <v>49</v>
      </c>
      <c r="D528" t="s">
        <v>51</v>
      </c>
      <c r="E528" t="s">
        <v>51</v>
      </c>
      <c r="F528" t="s">
        <v>51</v>
      </c>
      <c r="G528" t="s">
        <v>52</v>
      </c>
      <c r="H528" t="s">
        <v>52</v>
      </c>
      <c r="I528" t="s">
        <v>52</v>
      </c>
      <c r="J528" t="s">
        <v>590</v>
      </c>
      <c r="K528" t="s">
        <v>52</v>
      </c>
      <c r="L528" t="s">
        <v>657</v>
      </c>
      <c r="M528" t="s">
        <v>654</v>
      </c>
      <c r="N528" t="s">
        <v>163</v>
      </c>
      <c r="O528" t="s">
        <v>135</v>
      </c>
      <c r="P528" t="s">
        <v>135</v>
      </c>
      <c r="Q528" t="s">
        <v>51</v>
      </c>
      <c r="R528" t="s">
        <v>51</v>
      </c>
      <c r="S528" t="s">
        <v>51</v>
      </c>
      <c r="T528" t="s">
        <v>51</v>
      </c>
    </row>
    <row r="529" spans="1:20">
      <c r="A529" t="s">
        <v>637</v>
      </c>
      <c r="B529" t="s">
        <v>127</v>
      </c>
      <c r="C529" t="s">
        <v>49</v>
      </c>
      <c r="D529" t="s">
        <v>51</v>
      </c>
      <c r="E529" t="s">
        <v>51</v>
      </c>
      <c r="F529" t="s">
        <v>51</v>
      </c>
      <c r="G529" t="s">
        <v>52</v>
      </c>
      <c r="H529" t="s">
        <v>52</v>
      </c>
      <c r="I529" t="s">
        <v>52</v>
      </c>
      <c r="J529" t="s">
        <v>590</v>
      </c>
      <c r="K529" t="s">
        <v>52</v>
      </c>
      <c r="L529" t="s">
        <v>657</v>
      </c>
      <c r="M529" t="s">
        <v>654</v>
      </c>
      <c r="N529" t="s">
        <v>163</v>
      </c>
      <c r="O529" t="s">
        <v>135</v>
      </c>
      <c r="P529" t="s">
        <v>135</v>
      </c>
      <c r="Q529" t="s">
        <v>51</v>
      </c>
      <c r="R529" t="s">
        <v>51</v>
      </c>
      <c r="S529" t="s">
        <v>51</v>
      </c>
      <c r="T529" t="s">
        <v>51</v>
      </c>
    </row>
    <row r="530" spans="1:20">
      <c r="A530" t="s">
        <v>638</v>
      </c>
      <c r="B530" t="s">
        <v>129</v>
      </c>
      <c r="C530" t="s">
        <v>49</v>
      </c>
      <c r="D530" t="s">
        <v>51</v>
      </c>
      <c r="E530" t="s">
        <v>51</v>
      </c>
      <c r="F530" t="s">
        <v>51</v>
      </c>
      <c r="G530" t="s">
        <v>52</v>
      </c>
      <c r="H530" t="s">
        <v>52</v>
      </c>
      <c r="I530" t="s">
        <v>52</v>
      </c>
      <c r="J530" t="s">
        <v>590</v>
      </c>
      <c r="K530" t="s">
        <v>52</v>
      </c>
      <c r="L530" t="s">
        <v>657</v>
      </c>
      <c r="M530" t="s">
        <v>654</v>
      </c>
      <c r="N530" t="s">
        <v>163</v>
      </c>
      <c r="O530" t="s">
        <v>135</v>
      </c>
      <c r="P530" t="s">
        <v>135</v>
      </c>
      <c r="Q530" t="s">
        <v>51</v>
      </c>
      <c r="R530" t="s">
        <v>51</v>
      </c>
      <c r="S530" t="s">
        <v>51</v>
      </c>
      <c r="T530" t="s">
        <v>51</v>
      </c>
    </row>
    <row r="531" spans="1:20">
      <c r="A531" t="s">
        <v>639</v>
      </c>
      <c r="B531" t="s">
        <v>131</v>
      </c>
      <c r="C531" t="s">
        <v>49</v>
      </c>
      <c r="D531" t="s">
        <v>51</v>
      </c>
      <c r="E531" t="s">
        <v>51</v>
      </c>
      <c r="F531" t="s">
        <v>51</v>
      </c>
      <c r="G531" t="s">
        <v>52</v>
      </c>
      <c r="H531" t="s">
        <v>52</v>
      </c>
      <c r="I531" t="s">
        <v>52</v>
      </c>
      <c r="J531" t="s">
        <v>590</v>
      </c>
      <c r="K531" t="s">
        <v>52</v>
      </c>
      <c r="L531" t="s">
        <v>657</v>
      </c>
      <c r="M531" t="s">
        <v>654</v>
      </c>
      <c r="N531" t="s">
        <v>163</v>
      </c>
      <c r="O531" t="s">
        <v>135</v>
      </c>
      <c r="P531" t="s">
        <v>135</v>
      </c>
      <c r="Q531" t="s">
        <v>51</v>
      </c>
      <c r="R531" t="s">
        <v>51</v>
      </c>
      <c r="S531" t="s">
        <v>51</v>
      </c>
      <c r="T531" t="s">
        <v>51</v>
      </c>
    </row>
    <row r="532" spans="1:20">
      <c r="A532" t="s">
        <v>640</v>
      </c>
      <c r="B532" t="s">
        <v>133</v>
      </c>
      <c r="C532" t="s">
        <v>49</v>
      </c>
      <c r="D532" t="s">
        <v>51</v>
      </c>
      <c r="E532" t="s">
        <v>51</v>
      </c>
      <c r="F532" t="s">
        <v>51</v>
      </c>
      <c r="G532" t="s">
        <v>52</v>
      </c>
      <c r="H532" t="s">
        <v>52</v>
      </c>
      <c r="I532" t="s">
        <v>52</v>
      </c>
      <c r="J532" t="s">
        <v>590</v>
      </c>
      <c r="K532" t="s">
        <v>52</v>
      </c>
      <c r="L532" t="s">
        <v>657</v>
      </c>
      <c r="M532" t="s">
        <v>654</v>
      </c>
      <c r="N532" t="s">
        <v>163</v>
      </c>
      <c r="O532" t="s">
        <v>135</v>
      </c>
      <c r="P532" t="s">
        <v>135</v>
      </c>
      <c r="Q532" t="s">
        <v>51</v>
      </c>
      <c r="R532" t="s">
        <v>51</v>
      </c>
      <c r="S532" t="s">
        <v>51</v>
      </c>
      <c r="T532" t="s">
        <v>51</v>
      </c>
    </row>
    <row r="533" spans="1:20">
      <c r="A533" t="s">
        <v>641</v>
      </c>
      <c r="B533" t="s">
        <v>135</v>
      </c>
      <c r="C533" t="s">
        <v>49</v>
      </c>
      <c r="D533" t="s">
        <v>51</v>
      </c>
      <c r="E533" t="s">
        <v>51</v>
      </c>
      <c r="F533" t="s">
        <v>51</v>
      </c>
      <c r="G533" t="s">
        <v>52</v>
      </c>
      <c r="H533" t="s">
        <v>52</v>
      </c>
      <c r="I533" t="s">
        <v>52</v>
      </c>
      <c r="J533" t="s">
        <v>590</v>
      </c>
      <c r="K533" t="s">
        <v>52</v>
      </c>
      <c r="L533" t="s">
        <v>657</v>
      </c>
      <c r="M533" t="s">
        <v>654</v>
      </c>
      <c r="N533" t="s">
        <v>163</v>
      </c>
      <c r="O533" t="s">
        <v>135</v>
      </c>
      <c r="P533" t="s">
        <v>135</v>
      </c>
      <c r="Q533" t="s">
        <v>51</v>
      </c>
      <c r="R533" t="s">
        <v>51</v>
      </c>
      <c r="S533" t="s">
        <v>51</v>
      </c>
      <c r="T533" t="s">
        <v>51</v>
      </c>
    </row>
    <row r="534" spans="1:20">
      <c r="A534" t="s">
        <v>642</v>
      </c>
      <c r="B534" t="s">
        <v>137</v>
      </c>
      <c r="C534" t="s">
        <v>49</v>
      </c>
      <c r="D534" t="s">
        <v>51</v>
      </c>
      <c r="E534" t="s">
        <v>51</v>
      </c>
      <c r="F534" t="s">
        <v>51</v>
      </c>
      <c r="G534" t="s">
        <v>52</v>
      </c>
      <c r="H534" t="s">
        <v>52</v>
      </c>
      <c r="I534" t="s">
        <v>52</v>
      </c>
      <c r="J534" t="s">
        <v>590</v>
      </c>
      <c r="K534" t="s">
        <v>52</v>
      </c>
      <c r="L534" t="s">
        <v>657</v>
      </c>
      <c r="M534" t="s">
        <v>654</v>
      </c>
      <c r="N534" t="s">
        <v>163</v>
      </c>
      <c r="O534" t="s">
        <v>135</v>
      </c>
      <c r="P534" t="s">
        <v>135</v>
      </c>
      <c r="Q534" t="s">
        <v>51</v>
      </c>
      <c r="R534" t="s">
        <v>51</v>
      </c>
      <c r="S534" t="s">
        <v>51</v>
      </c>
      <c r="T534" t="s">
        <v>51</v>
      </c>
    </row>
    <row r="535" spans="1:20">
      <c r="A535" t="s">
        <v>643</v>
      </c>
      <c r="B535" t="s">
        <v>139</v>
      </c>
      <c r="C535" t="s">
        <v>49</v>
      </c>
      <c r="D535" t="s">
        <v>51</v>
      </c>
      <c r="E535" t="s">
        <v>51</v>
      </c>
      <c r="F535" t="s">
        <v>51</v>
      </c>
      <c r="G535" t="s">
        <v>52</v>
      </c>
      <c r="H535" t="s">
        <v>52</v>
      </c>
      <c r="I535" t="s">
        <v>52</v>
      </c>
      <c r="J535" t="s">
        <v>590</v>
      </c>
      <c r="K535" t="s">
        <v>52</v>
      </c>
      <c r="L535" t="s">
        <v>657</v>
      </c>
      <c r="M535" t="s">
        <v>654</v>
      </c>
      <c r="N535" t="s">
        <v>163</v>
      </c>
      <c r="O535" t="s">
        <v>135</v>
      </c>
      <c r="P535" t="s">
        <v>135</v>
      </c>
      <c r="Q535" t="s">
        <v>51</v>
      </c>
      <c r="R535" t="s">
        <v>51</v>
      </c>
      <c r="S535" t="s">
        <v>51</v>
      </c>
      <c r="T535" t="s">
        <v>51</v>
      </c>
    </row>
    <row r="536" spans="1:20">
      <c r="A536" t="s">
        <v>644</v>
      </c>
      <c r="B536" t="s">
        <v>141</v>
      </c>
      <c r="C536" t="s">
        <v>49</v>
      </c>
      <c r="D536" t="s">
        <v>51</v>
      </c>
      <c r="E536" t="s">
        <v>51</v>
      </c>
      <c r="F536" t="s">
        <v>51</v>
      </c>
      <c r="G536" t="s">
        <v>52</v>
      </c>
      <c r="H536" t="s">
        <v>52</v>
      </c>
      <c r="I536" t="s">
        <v>52</v>
      </c>
      <c r="J536" t="s">
        <v>590</v>
      </c>
      <c r="K536" t="s">
        <v>52</v>
      </c>
      <c r="L536" t="s">
        <v>657</v>
      </c>
      <c r="M536" t="s">
        <v>654</v>
      </c>
      <c r="N536" t="s">
        <v>163</v>
      </c>
      <c r="O536" t="s">
        <v>135</v>
      </c>
      <c r="P536" t="s">
        <v>135</v>
      </c>
      <c r="Q536" t="s">
        <v>51</v>
      </c>
      <c r="R536" t="s">
        <v>51</v>
      </c>
      <c r="S536" t="s">
        <v>51</v>
      </c>
      <c r="T536" t="s">
        <v>51</v>
      </c>
    </row>
    <row r="537" spans="1:20">
      <c r="A537" t="s">
        <v>645</v>
      </c>
      <c r="B537" t="s">
        <v>143</v>
      </c>
      <c r="C537" t="s">
        <v>49</v>
      </c>
      <c r="D537" t="s">
        <v>51</v>
      </c>
      <c r="E537" t="s">
        <v>51</v>
      </c>
      <c r="F537" t="s">
        <v>51</v>
      </c>
      <c r="G537" t="s">
        <v>52</v>
      </c>
      <c r="H537" t="s">
        <v>52</v>
      </c>
      <c r="I537" t="s">
        <v>52</v>
      </c>
      <c r="J537" t="s">
        <v>590</v>
      </c>
      <c r="K537" t="s">
        <v>52</v>
      </c>
      <c r="L537" t="s">
        <v>657</v>
      </c>
      <c r="M537" t="s">
        <v>654</v>
      </c>
      <c r="N537" t="s">
        <v>163</v>
      </c>
      <c r="O537" t="s">
        <v>135</v>
      </c>
      <c r="P537" t="s">
        <v>135</v>
      </c>
      <c r="Q537" t="s">
        <v>51</v>
      </c>
      <c r="R537" t="s">
        <v>51</v>
      </c>
      <c r="S537" t="s">
        <v>51</v>
      </c>
      <c r="T537" t="s">
        <v>51</v>
      </c>
    </row>
    <row r="538" spans="1:20">
      <c r="A538" t="s">
        <v>646</v>
      </c>
      <c r="B538" t="s">
        <v>145</v>
      </c>
      <c r="C538" t="s">
        <v>49</v>
      </c>
      <c r="D538" t="s">
        <v>51</v>
      </c>
      <c r="E538" t="s">
        <v>51</v>
      </c>
      <c r="F538" t="s">
        <v>51</v>
      </c>
      <c r="G538" t="s">
        <v>52</v>
      </c>
      <c r="H538" t="s">
        <v>52</v>
      </c>
      <c r="I538" t="s">
        <v>52</v>
      </c>
      <c r="J538" t="s">
        <v>590</v>
      </c>
      <c r="K538" t="s">
        <v>52</v>
      </c>
      <c r="L538" t="s">
        <v>657</v>
      </c>
      <c r="M538" t="s">
        <v>654</v>
      </c>
      <c r="N538" t="s">
        <v>163</v>
      </c>
      <c r="O538" t="s">
        <v>135</v>
      </c>
      <c r="P538" t="s">
        <v>135</v>
      </c>
      <c r="Q538" t="s">
        <v>51</v>
      </c>
      <c r="R538" t="s">
        <v>51</v>
      </c>
      <c r="S538" t="s">
        <v>51</v>
      </c>
      <c r="T538" t="s">
        <v>51</v>
      </c>
    </row>
    <row r="539" spans="1:20">
      <c r="A539" t="s">
        <v>647</v>
      </c>
      <c r="B539" t="s">
        <v>147</v>
      </c>
      <c r="C539" t="s">
        <v>49</v>
      </c>
      <c r="D539" t="s">
        <v>51</v>
      </c>
      <c r="E539" t="s">
        <v>51</v>
      </c>
      <c r="F539" t="s">
        <v>51</v>
      </c>
      <c r="G539" t="s">
        <v>52</v>
      </c>
      <c r="H539" t="s">
        <v>52</v>
      </c>
      <c r="I539" t="s">
        <v>52</v>
      </c>
      <c r="J539" t="s">
        <v>590</v>
      </c>
      <c r="K539" t="s">
        <v>52</v>
      </c>
      <c r="L539" t="s">
        <v>657</v>
      </c>
      <c r="M539" t="s">
        <v>654</v>
      </c>
      <c r="N539" t="s">
        <v>163</v>
      </c>
      <c r="O539" t="s">
        <v>135</v>
      </c>
      <c r="P539" t="s">
        <v>135</v>
      </c>
      <c r="Q539" t="s">
        <v>51</v>
      </c>
      <c r="R539" t="s">
        <v>51</v>
      </c>
      <c r="S539" t="s">
        <v>51</v>
      </c>
      <c r="T539" t="s">
        <v>51</v>
      </c>
    </row>
    <row r="540" spans="1:20">
      <c r="A540" t="s">
        <v>648</v>
      </c>
      <c r="B540" t="s">
        <v>149</v>
      </c>
      <c r="C540" t="s">
        <v>49</v>
      </c>
      <c r="D540" t="s">
        <v>51</v>
      </c>
      <c r="E540" t="s">
        <v>51</v>
      </c>
      <c r="F540" t="s">
        <v>51</v>
      </c>
      <c r="G540" t="s">
        <v>52</v>
      </c>
      <c r="H540" t="s">
        <v>52</v>
      </c>
      <c r="I540" t="s">
        <v>52</v>
      </c>
      <c r="J540" t="s">
        <v>590</v>
      </c>
      <c r="K540" t="s">
        <v>52</v>
      </c>
      <c r="L540" t="s">
        <v>657</v>
      </c>
      <c r="M540" t="s">
        <v>654</v>
      </c>
      <c r="N540" t="s">
        <v>163</v>
      </c>
      <c r="O540" t="s">
        <v>135</v>
      </c>
      <c r="P540" t="s">
        <v>135</v>
      </c>
      <c r="Q540" t="s">
        <v>51</v>
      </c>
      <c r="R540" t="s">
        <v>51</v>
      </c>
      <c r="S540" t="s">
        <v>51</v>
      </c>
      <c r="T540" t="s">
        <v>51</v>
      </c>
    </row>
    <row r="541" spans="1:20">
      <c r="A541" t="s">
        <v>649</v>
      </c>
      <c r="B541" t="s">
        <v>151</v>
      </c>
      <c r="C541" t="s">
        <v>49</v>
      </c>
      <c r="D541" t="s">
        <v>51</v>
      </c>
      <c r="E541" t="s">
        <v>51</v>
      </c>
      <c r="F541" t="s">
        <v>51</v>
      </c>
      <c r="G541" t="s">
        <v>52</v>
      </c>
      <c r="H541" t="s">
        <v>52</v>
      </c>
      <c r="I541" t="s">
        <v>52</v>
      </c>
      <c r="J541" t="s">
        <v>590</v>
      </c>
      <c r="K541" t="s">
        <v>52</v>
      </c>
      <c r="L541" t="s">
        <v>657</v>
      </c>
      <c r="M541" t="s">
        <v>654</v>
      </c>
      <c r="N541" t="s">
        <v>163</v>
      </c>
      <c r="O541" t="s">
        <v>135</v>
      </c>
      <c r="P541" t="s">
        <v>135</v>
      </c>
      <c r="Q541" t="s">
        <v>51</v>
      </c>
      <c r="R541" t="s">
        <v>51</v>
      </c>
      <c r="S541" t="s">
        <v>51</v>
      </c>
      <c r="T541" t="s">
        <v>51</v>
      </c>
    </row>
    <row r="542" spans="1:20">
      <c r="A542" t="s">
        <v>650</v>
      </c>
      <c r="B542" t="s">
        <v>153</v>
      </c>
      <c r="C542" t="s">
        <v>49</v>
      </c>
      <c r="D542" t="s">
        <v>51</v>
      </c>
      <c r="E542" t="s">
        <v>51</v>
      </c>
      <c r="F542" t="s">
        <v>51</v>
      </c>
      <c r="G542" t="s">
        <v>52</v>
      </c>
      <c r="H542" t="s">
        <v>52</v>
      </c>
      <c r="I542" t="s">
        <v>52</v>
      </c>
      <c r="J542" t="s">
        <v>590</v>
      </c>
      <c r="K542" t="s">
        <v>52</v>
      </c>
      <c r="L542" t="s">
        <v>657</v>
      </c>
      <c r="M542" t="s">
        <v>654</v>
      </c>
      <c r="N542" t="s">
        <v>163</v>
      </c>
      <c r="O542" t="s">
        <v>135</v>
      </c>
      <c r="P542" t="s">
        <v>135</v>
      </c>
      <c r="Q542" t="s">
        <v>51</v>
      </c>
      <c r="R542" t="s">
        <v>51</v>
      </c>
      <c r="S542" t="s">
        <v>51</v>
      </c>
      <c r="T542" t="s">
        <v>51</v>
      </c>
    </row>
    <row r="543" spans="1:20">
      <c r="A543" t="s">
        <v>588</v>
      </c>
      <c r="B543" t="s">
        <v>589</v>
      </c>
      <c r="C543" t="s">
        <v>165</v>
      </c>
      <c r="D543" t="s">
        <v>50</v>
      </c>
      <c r="E543" t="s">
        <v>51</v>
      </c>
      <c r="F543" t="s">
        <v>51</v>
      </c>
      <c r="G543" t="s">
        <v>52</v>
      </c>
      <c r="H543" t="s">
        <v>52</v>
      </c>
      <c r="I543" t="s">
        <v>52</v>
      </c>
      <c r="J543" t="s">
        <v>52</v>
      </c>
      <c r="K543" t="s">
        <v>52</v>
      </c>
      <c r="L543" t="s">
        <v>658</v>
      </c>
      <c r="M543" t="s">
        <v>654</v>
      </c>
      <c r="N543" t="s">
        <v>163</v>
      </c>
      <c r="O543" t="s">
        <v>137</v>
      </c>
      <c r="P543" t="s">
        <v>137</v>
      </c>
      <c r="Q543" t="s">
        <v>51</v>
      </c>
      <c r="R543" t="s">
        <v>51</v>
      </c>
      <c r="S543" t="s">
        <v>51</v>
      </c>
      <c r="T543" t="s">
        <v>51</v>
      </c>
    </row>
    <row r="544" spans="1:20">
      <c r="A544" t="s">
        <v>605</v>
      </c>
      <c r="B544" t="s">
        <v>56</v>
      </c>
      <c r="C544" t="s">
        <v>49</v>
      </c>
      <c r="D544" t="s">
        <v>51</v>
      </c>
      <c r="E544" t="s">
        <v>51</v>
      </c>
      <c r="F544" t="s">
        <v>51</v>
      </c>
      <c r="G544" t="s">
        <v>52</v>
      </c>
      <c r="H544" t="s">
        <v>52</v>
      </c>
      <c r="I544" t="s">
        <v>52</v>
      </c>
      <c r="J544" t="s">
        <v>590</v>
      </c>
      <c r="K544" t="s">
        <v>52</v>
      </c>
      <c r="L544" t="s">
        <v>658</v>
      </c>
      <c r="M544" t="s">
        <v>654</v>
      </c>
      <c r="N544" t="s">
        <v>163</v>
      </c>
      <c r="O544" t="s">
        <v>137</v>
      </c>
      <c r="P544" t="s">
        <v>137</v>
      </c>
      <c r="Q544" t="s">
        <v>51</v>
      </c>
      <c r="R544" t="s">
        <v>51</v>
      </c>
      <c r="S544" t="s">
        <v>51</v>
      </c>
      <c r="T544" t="s">
        <v>51</v>
      </c>
    </row>
    <row r="545" spans="1:20">
      <c r="A545" t="s">
        <v>606</v>
      </c>
      <c r="B545" t="s">
        <v>65</v>
      </c>
      <c r="C545" t="s">
        <v>49</v>
      </c>
      <c r="D545" t="s">
        <v>51</v>
      </c>
      <c r="E545" t="s">
        <v>51</v>
      </c>
      <c r="F545" t="s">
        <v>51</v>
      </c>
      <c r="G545" t="s">
        <v>52</v>
      </c>
      <c r="H545" t="s">
        <v>52</v>
      </c>
      <c r="I545" t="s">
        <v>52</v>
      </c>
      <c r="J545" t="s">
        <v>590</v>
      </c>
      <c r="K545" t="s">
        <v>52</v>
      </c>
      <c r="L545" t="s">
        <v>658</v>
      </c>
      <c r="M545" t="s">
        <v>654</v>
      </c>
      <c r="N545" t="s">
        <v>163</v>
      </c>
      <c r="O545" t="s">
        <v>137</v>
      </c>
      <c r="P545" t="s">
        <v>137</v>
      </c>
      <c r="Q545" t="s">
        <v>51</v>
      </c>
      <c r="R545" t="s">
        <v>51</v>
      </c>
      <c r="S545" t="s">
        <v>51</v>
      </c>
      <c r="T545" t="s">
        <v>51</v>
      </c>
    </row>
    <row r="546" spans="1:20">
      <c r="A546" t="s">
        <v>607</v>
      </c>
      <c r="B546" t="s">
        <v>67</v>
      </c>
      <c r="C546" t="s">
        <v>49</v>
      </c>
      <c r="D546" t="s">
        <v>51</v>
      </c>
      <c r="E546" t="s">
        <v>51</v>
      </c>
      <c r="F546" t="s">
        <v>51</v>
      </c>
      <c r="G546" t="s">
        <v>52</v>
      </c>
      <c r="H546" t="s">
        <v>52</v>
      </c>
      <c r="I546" t="s">
        <v>52</v>
      </c>
      <c r="J546" t="s">
        <v>590</v>
      </c>
      <c r="K546" t="s">
        <v>52</v>
      </c>
      <c r="L546" t="s">
        <v>658</v>
      </c>
      <c r="M546" t="s">
        <v>654</v>
      </c>
      <c r="N546" t="s">
        <v>163</v>
      </c>
      <c r="O546" t="s">
        <v>137</v>
      </c>
      <c r="P546" t="s">
        <v>137</v>
      </c>
      <c r="Q546" t="s">
        <v>51</v>
      </c>
      <c r="R546" t="s">
        <v>51</v>
      </c>
      <c r="S546" t="s">
        <v>51</v>
      </c>
      <c r="T546" t="s">
        <v>51</v>
      </c>
    </row>
    <row r="547" spans="1:20">
      <c r="A547" t="s">
        <v>608</v>
      </c>
      <c r="B547" t="s">
        <v>69</v>
      </c>
      <c r="C547" t="s">
        <v>49</v>
      </c>
      <c r="D547" t="s">
        <v>51</v>
      </c>
      <c r="E547" t="s">
        <v>51</v>
      </c>
      <c r="F547" t="s">
        <v>51</v>
      </c>
      <c r="G547" t="s">
        <v>52</v>
      </c>
      <c r="H547" t="s">
        <v>52</v>
      </c>
      <c r="I547" t="s">
        <v>52</v>
      </c>
      <c r="J547" t="s">
        <v>590</v>
      </c>
      <c r="K547" t="s">
        <v>52</v>
      </c>
      <c r="L547" t="s">
        <v>658</v>
      </c>
      <c r="M547" t="s">
        <v>654</v>
      </c>
      <c r="N547" t="s">
        <v>163</v>
      </c>
      <c r="O547" t="s">
        <v>137</v>
      </c>
      <c r="P547" t="s">
        <v>137</v>
      </c>
      <c r="Q547" t="s">
        <v>51</v>
      </c>
      <c r="R547" t="s">
        <v>51</v>
      </c>
      <c r="S547" t="s">
        <v>51</v>
      </c>
      <c r="T547" t="s">
        <v>51</v>
      </c>
    </row>
    <row r="548" spans="1:20">
      <c r="A548" t="s">
        <v>609</v>
      </c>
      <c r="B548" t="s">
        <v>71</v>
      </c>
      <c r="C548" t="s">
        <v>49</v>
      </c>
      <c r="D548" t="s">
        <v>51</v>
      </c>
      <c r="E548" t="s">
        <v>51</v>
      </c>
      <c r="F548" t="s">
        <v>51</v>
      </c>
      <c r="G548" t="s">
        <v>52</v>
      </c>
      <c r="H548" t="s">
        <v>52</v>
      </c>
      <c r="I548" t="s">
        <v>52</v>
      </c>
      <c r="J548" t="s">
        <v>590</v>
      </c>
      <c r="K548" t="s">
        <v>52</v>
      </c>
      <c r="L548" t="s">
        <v>658</v>
      </c>
      <c r="M548" t="s">
        <v>654</v>
      </c>
      <c r="N548" t="s">
        <v>163</v>
      </c>
      <c r="O548" t="s">
        <v>137</v>
      </c>
      <c r="P548" t="s">
        <v>137</v>
      </c>
      <c r="Q548" t="s">
        <v>51</v>
      </c>
      <c r="R548" t="s">
        <v>51</v>
      </c>
      <c r="S548" t="s">
        <v>51</v>
      </c>
      <c r="T548" t="s">
        <v>51</v>
      </c>
    </row>
    <row r="549" spans="1:20">
      <c r="A549" t="s">
        <v>610</v>
      </c>
      <c r="B549" t="s">
        <v>73</v>
      </c>
      <c r="C549" t="s">
        <v>49</v>
      </c>
      <c r="D549" t="s">
        <v>51</v>
      </c>
      <c r="E549" t="s">
        <v>51</v>
      </c>
      <c r="F549" t="s">
        <v>51</v>
      </c>
      <c r="G549" t="s">
        <v>52</v>
      </c>
      <c r="H549" t="s">
        <v>52</v>
      </c>
      <c r="I549" t="s">
        <v>52</v>
      </c>
      <c r="J549" t="s">
        <v>590</v>
      </c>
      <c r="K549" t="s">
        <v>52</v>
      </c>
      <c r="L549" t="s">
        <v>658</v>
      </c>
      <c r="M549" t="s">
        <v>654</v>
      </c>
      <c r="N549" t="s">
        <v>163</v>
      </c>
      <c r="O549" t="s">
        <v>137</v>
      </c>
      <c r="P549" t="s">
        <v>137</v>
      </c>
      <c r="Q549" t="s">
        <v>51</v>
      </c>
      <c r="R549" t="s">
        <v>51</v>
      </c>
      <c r="S549" t="s">
        <v>51</v>
      </c>
      <c r="T549" t="s">
        <v>51</v>
      </c>
    </row>
    <row r="550" spans="1:20">
      <c r="A550" t="s">
        <v>611</v>
      </c>
      <c r="B550" t="s">
        <v>75</v>
      </c>
      <c r="C550" t="s">
        <v>49</v>
      </c>
      <c r="D550" t="s">
        <v>51</v>
      </c>
      <c r="E550" t="s">
        <v>51</v>
      </c>
      <c r="F550" t="s">
        <v>51</v>
      </c>
      <c r="G550" t="s">
        <v>52</v>
      </c>
      <c r="H550" t="s">
        <v>52</v>
      </c>
      <c r="I550" t="s">
        <v>52</v>
      </c>
      <c r="J550" t="s">
        <v>590</v>
      </c>
      <c r="K550" t="s">
        <v>52</v>
      </c>
      <c r="L550" t="s">
        <v>658</v>
      </c>
      <c r="M550" t="s">
        <v>654</v>
      </c>
      <c r="N550" t="s">
        <v>163</v>
      </c>
      <c r="O550" t="s">
        <v>137</v>
      </c>
      <c r="P550" t="s">
        <v>137</v>
      </c>
      <c r="Q550" t="s">
        <v>51</v>
      </c>
      <c r="R550" t="s">
        <v>51</v>
      </c>
      <c r="S550" t="s">
        <v>51</v>
      </c>
      <c r="T550" t="s">
        <v>51</v>
      </c>
    </row>
    <row r="551" spans="1:20">
      <c r="A551" t="s">
        <v>612</v>
      </c>
      <c r="B551" t="s">
        <v>77</v>
      </c>
      <c r="C551" t="s">
        <v>49</v>
      </c>
      <c r="D551" t="s">
        <v>51</v>
      </c>
      <c r="E551" t="s">
        <v>51</v>
      </c>
      <c r="F551" t="s">
        <v>51</v>
      </c>
      <c r="G551" t="s">
        <v>52</v>
      </c>
      <c r="H551" t="s">
        <v>52</v>
      </c>
      <c r="I551" t="s">
        <v>52</v>
      </c>
      <c r="J551" t="s">
        <v>590</v>
      </c>
      <c r="K551" t="s">
        <v>52</v>
      </c>
      <c r="L551" t="s">
        <v>658</v>
      </c>
      <c r="M551" t="s">
        <v>654</v>
      </c>
      <c r="N551" t="s">
        <v>163</v>
      </c>
      <c r="O551" t="s">
        <v>137</v>
      </c>
      <c r="P551" t="s">
        <v>137</v>
      </c>
      <c r="Q551" t="s">
        <v>51</v>
      </c>
      <c r="R551" t="s">
        <v>51</v>
      </c>
      <c r="S551" t="s">
        <v>51</v>
      </c>
      <c r="T551" t="s">
        <v>51</v>
      </c>
    </row>
    <row r="552" spans="1:20">
      <c r="A552" t="s">
        <v>613</v>
      </c>
      <c r="B552" t="s">
        <v>79</v>
      </c>
      <c r="C552" t="s">
        <v>49</v>
      </c>
      <c r="D552" t="s">
        <v>51</v>
      </c>
      <c r="E552" t="s">
        <v>51</v>
      </c>
      <c r="F552" t="s">
        <v>51</v>
      </c>
      <c r="G552" t="s">
        <v>52</v>
      </c>
      <c r="H552" t="s">
        <v>52</v>
      </c>
      <c r="I552" t="s">
        <v>52</v>
      </c>
      <c r="J552" t="s">
        <v>590</v>
      </c>
      <c r="K552" t="s">
        <v>52</v>
      </c>
      <c r="L552" t="s">
        <v>658</v>
      </c>
      <c r="M552" t="s">
        <v>654</v>
      </c>
      <c r="N552" t="s">
        <v>163</v>
      </c>
      <c r="O552" t="s">
        <v>137</v>
      </c>
      <c r="P552" t="s">
        <v>137</v>
      </c>
      <c r="Q552" t="s">
        <v>51</v>
      </c>
      <c r="R552" t="s">
        <v>51</v>
      </c>
      <c r="S552" t="s">
        <v>51</v>
      </c>
      <c r="T552" t="s">
        <v>51</v>
      </c>
    </row>
    <row r="553" spans="1:20">
      <c r="A553" t="s">
        <v>614</v>
      </c>
      <c r="B553" t="s">
        <v>81</v>
      </c>
      <c r="C553" t="s">
        <v>49</v>
      </c>
      <c r="D553" t="s">
        <v>51</v>
      </c>
      <c r="E553" t="s">
        <v>51</v>
      </c>
      <c r="F553" t="s">
        <v>51</v>
      </c>
      <c r="G553" t="s">
        <v>52</v>
      </c>
      <c r="H553" t="s">
        <v>52</v>
      </c>
      <c r="I553" t="s">
        <v>52</v>
      </c>
      <c r="J553" t="s">
        <v>590</v>
      </c>
      <c r="K553" t="s">
        <v>52</v>
      </c>
      <c r="L553" t="s">
        <v>658</v>
      </c>
      <c r="M553" t="s">
        <v>654</v>
      </c>
      <c r="N553" t="s">
        <v>163</v>
      </c>
      <c r="O553" t="s">
        <v>137</v>
      </c>
      <c r="P553" t="s">
        <v>137</v>
      </c>
      <c r="Q553" t="s">
        <v>51</v>
      </c>
      <c r="R553" t="s">
        <v>51</v>
      </c>
      <c r="S553" t="s">
        <v>51</v>
      </c>
      <c r="T553" t="s">
        <v>51</v>
      </c>
    </row>
    <row r="554" spans="1:20">
      <c r="A554" t="s">
        <v>615</v>
      </c>
      <c r="B554" t="s">
        <v>83</v>
      </c>
      <c r="C554" t="s">
        <v>49</v>
      </c>
      <c r="D554" t="s">
        <v>51</v>
      </c>
      <c r="E554" t="s">
        <v>51</v>
      </c>
      <c r="F554" t="s">
        <v>51</v>
      </c>
      <c r="G554" t="s">
        <v>52</v>
      </c>
      <c r="H554" t="s">
        <v>52</v>
      </c>
      <c r="I554" t="s">
        <v>52</v>
      </c>
      <c r="J554" t="s">
        <v>590</v>
      </c>
      <c r="K554" t="s">
        <v>52</v>
      </c>
      <c r="L554" t="s">
        <v>658</v>
      </c>
      <c r="M554" t="s">
        <v>654</v>
      </c>
      <c r="N554" t="s">
        <v>163</v>
      </c>
      <c r="O554" t="s">
        <v>137</v>
      </c>
      <c r="P554" t="s">
        <v>137</v>
      </c>
      <c r="Q554" t="s">
        <v>51</v>
      </c>
      <c r="R554" t="s">
        <v>51</v>
      </c>
      <c r="S554" t="s">
        <v>51</v>
      </c>
      <c r="T554" t="s">
        <v>51</v>
      </c>
    </row>
    <row r="555" spans="1:20">
      <c r="A555" t="s">
        <v>616</v>
      </c>
      <c r="B555" t="s">
        <v>85</v>
      </c>
      <c r="C555" t="s">
        <v>49</v>
      </c>
      <c r="D555" t="s">
        <v>51</v>
      </c>
      <c r="E555" t="s">
        <v>51</v>
      </c>
      <c r="F555" t="s">
        <v>51</v>
      </c>
      <c r="G555" t="s">
        <v>52</v>
      </c>
      <c r="H555" t="s">
        <v>52</v>
      </c>
      <c r="I555" t="s">
        <v>52</v>
      </c>
      <c r="J555" t="s">
        <v>590</v>
      </c>
      <c r="K555" t="s">
        <v>52</v>
      </c>
      <c r="L555" t="s">
        <v>658</v>
      </c>
      <c r="M555" t="s">
        <v>654</v>
      </c>
      <c r="N555" t="s">
        <v>163</v>
      </c>
      <c r="O555" t="s">
        <v>137</v>
      </c>
      <c r="P555" t="s">
        <v>137</v>
      </c>
      <c r="Q555" t="s">
        <v>51</v>
      </c>
      <c r="R555" t="s">
        <v>51</v>
      </c>
      <c r="S555" t="s">
        <v>51</v>
      </c>
      <c r="T555" t="s">
        <v>51</v>
      </c>
    </row>
    <row r="556" spans="1:20">
      <c r="A556" t="s">
        <v>617</v>
      </c>
      <c r="B556" t="s">
        <v>87</v>
      </c>
      <c r="C556" t="s">
        <v>49</v>
      </c>
      <c r="D556" t="s">
        <v>51</v>
      </c>
      <c r="E556" t="s">
        <v>51</v>
      </c>
      <c r="F556" t="s">
        <v>51</v>
      </c>
      <c r="G556" t="s">
        <v>52</v>
      </c>
      <c r="H556" t="s">
        <v>52</v>
      </c>
      <c r="I556" t="s">
        <v>52</v>
      </c>
      <c r="J556" t="s">
        <v>590</v>
      </c>
      <c r="K556" t="s">
        <v>52</v>
      </c>
      <c r="L556" t="s">
        <v>658</v>
      </c>
      <c r="M556" t="s">
        <v>654</v>
      </c>
      <c r="N556" t="s">
        <v>163</v>
      </c>
      <c r="O556" t="s">
        <v>137</v>
      </c>
      <c r="P556" t="s">
        <v>137</v>
      </c>
      <c r="Q556" t="s">
        <v>51</v>
      </c>
      <c r="R556" t="s">
        <v>51</v>
      </c>
      <c r="S556" t="s">
        <v>51</v>
      </c>
      <c r="T556" t="s">
        <v>51</v>
      </c>
    </row>
    <row r="557" spans="1:20">
      <c r="A557" t="s">
        <v>618</v>
      </c>
      <c r="B557" t="s">
        <v>89</v>
      </c>
      <c r="C557" t="s">
        <v>49</v>
      </c>
      <c r="D557" t="s">
        <v>51</v>
      </c>
      <c r="E557" t="s">
        <v>51</v>
      </c>
      <c r="F557" t="s">
        <v>51</v>
      </c>
      <c r="G557" t="s">
        <v>52</v>
      </c>
      <c r="H557" t="s">
        <v>52</v>
      </c>
      <c r="I557" t="s">
        <v>52</v>
      </c>
      <c r="J557" t="s">
        <v>590</v>
      </c>
      <c r="K557" t="s">
        <v>52</v>
      </c>
      <c r="L557" t="s">
        <v>658</v>
      </c>
      <c r="M557" t="s">
        <v>654</v>
      </c>
      <c r="N557" t="s">
        <v>163</v>
      </c>
      <c r="O557" t="s">
        <v>137</v>
      </c>
      <c r="P557" t="s">
        <v>137</v>
      </c>
      <c r="Q557" t="s">
        <v>51</v>
      </c>
      <c r="R557" t="s">
        <v>51</v>
      </c>
      <c r="S557" t="s">
        <v>51</v>
      </c>
      <c r="T557" t="s">
        <v>51</v>
      </c>
    </row>
    <row r="558" spans="1:20">
      <c r="A558" t="s">
        <v>619</v>
      </c>
      <c r="B558" t="s">
        <v>91</v>
      </c>
      <c r="C558" t="s">
        <v>49</v>
      </c>
      <c r="D558" t="s">
        <v>51</v>
      </c>
      <c r="E558" t="s">
        <v>51</v>
      </c>
      <c r="F558" t="s">
        <v>51</v>
      </c>
      <c r="G558" t="s">
        <v>52</v>
      </c>
      <c r="H558" t="s">
        <v>52</v>
      </c>
      <c r="I558" t="s">
        <v>52</v>
      </c>
      <c r="J558" t="s">
        <v>590</v>
      </c>
      <c r="K558" t="s">
        <v>52</v>
      </c>
      <c r="L558" t="s">
        <v>658</v>
      </c>
      <c r="M558" t="s">
        <v>654</v>
      </c>
      <c r="N558" t="s">
        <v>163</v>
      </c>
      <c r="O558" t="s">
        <v>137</v>
      </c>
      <c r="P558" t="s">
        <v>137</v>
      </c>
      <c r="Q558" t="s">
        <v>51</v>
      </c>
      <c r="R558" t="s">
        <v>51</v>
      </c>
      <c r="S558" t="s">
        <v>51</v>
      </c>
      <c r="T558" t="s">
        <v>51</v>
      </c>
    </row>
    <row r="559" spans="1:20">
      <c r="A559" t="s">
        <v>620</v>
      </c>
      <c r="B559" t="s">
        <v>93</v>
      </c>
      <c r="C559" t="s">
        <v>49</v>
      </c>
      <c r="D559" t="s">
        <v>51</v>
      </c>
      <c r="E559" t="s">
        <v>51</v>
      </c>
      <c r="F559" t="s">
        <v>51</v>
      </c>
      <c r="G559" t="s">
        <v>52</v>
      </c>
      <c r="H559" t="s">
        <v>52</v>
      </c>
      <c r="I559" t="s">
        <v>52</v>
      </c>
      <c r="J559" t="s">
        <v>590</v>
      </c>
      <c r="K559" t="s">
        <v>52</v>
      </c>
      <c r="L559" t="s">
        <v>658</v>
      </c>
      <c r="M559" t="s">
        <v>654</v>
      </c>
      <c r="N559" t="s">
        <v>163</v>
      </c>
      <c r="O559" t="s">
        <v>137</v>
      </c>
      <c r="P559" t="s">
        <v>137</v>
      </c>
      <c r="Q559" t="s">
        <v>51</v>
      </c>
      <c r="R559" t="s">
        <v>51</v>
      </c>
      <c r="S559" t="s">
        <v>51</v>
      </c>
      <c r="T559" t="s">
        <v>51</v>
      </c>
    </row>
    <row r="560" spans="1:20">
      <c r="A560" t="s">
        <v>621</v>
      </c>
      <c r="B560" t="s">
        <v>95</v>
      </c>
      <c r="C560" t="s">
        <v>49</v>
      </c>
      <c r="D560" t="s">
        <v>51</v>
      </c>
      <c r="E560" t="s">
        <v>51</v>
      </c>
      <c r="F560" t="s">
        <v>51</v>
      </c>
      <c r="G560" t="s">
        <v>52</v>
      </c>
      <c r="H560" t="s">
        <v>52</v>
      </c>
      <c r="I560" t="s">
        <v>52</v>
      </c>
      <c r="J560" t="s">
        <v>590</v>
      </c>
      <c r="K560" t="s">
        <v>52</v>
      </c>
      <c r="L560" t="s">
        <v>658</v>
      </c>
      <c r="M560" t="s">
        <v>654</v>
      </c>
      <c r="N560" t="s">
        <v>163</v>
      </c>
      <c r="O560" t="s">
        <v>137</v>
      </c>
      <c r="P560" t="s">
        <v>137</v>
      </c>
      <c r="Q560" t="s">
        <v>51</v>
      </c>
      <c r="R560" t="s">
        <v>51</v>
      </c>
      <c r="S560" t="s">
        <v>51</v>
      </c>
      <c r="T560" t="s">
        <v>51</v>
      </c>
    </row>
    <row r="561" spans="1:20">
      <c r="A561" t="s">
        <v>622</v>
      </c>
      <c r="B561" t="s">
        <v>97</v>
      </c>
      <c r="C561" t="s">
        <v>49</v>
      </c>
      <c r="D561" t="s">
        <v>51</v>
      </c>
      <c r="E561" t="s">
        <v>51</v>
      </c>
      <c r="F561" t="s">
        <v>51</v>
      </c>
      <c r="G561" t="s">
        <v>52</v>
      </c>
      <c r="H561" t="s">
        <v>52</v>
      </c>
      <c r="I561" t="s">
        <v>52</v>
      </c>
      <c r="J561" t="s">
        <v>590</v>
      </c>
      <c r="K561" t="s">
        <v>52</v>
      </c>
      <c r="L561" t="s">
        <v>658</v>
      </c>
      <c r="M561" t="s">
        <v>654</v>
      </c>
      <c r="N561" t="s">
        <v>163</v>
      </c>
      <c r="O561" t="s">
        <v>137</v>
      </c>
      <c r="P561" t="s">
        <v>137</v>
      </c>
      <c r="Q561" t="s">
        <v>51</v>
      </c>
      <c r="R561" t="s">
        <v>51</v>
      </c>
      <c r="S561" t="s">
        <v>51</v>
      </c>
      <c r="T561" t="s">
        <v>51</v>
      </c>
    </row>
    <row r="562" spans="1:20">
      <c r="A562" t="s">
        <v>623</v>
      </c>
      <c r="B562" t="s">
        <v>99</v>
      </c>
      <c r="C562" t="s">
        <v>49</v>
      </c>
      <c r="D562" t="s">
        <v>51</v>
      </c>
      <c r="E562" t="s">
        <v>51</v>
      </c>
      <c r="F562" t="s">
        <v>51</v>
      </c>
      <c r="G562" t="s">
        <v>52</v>
      </c>
      <c r="H562" t="s">
        <v>52</v>
      </c>
      <c r="I562" t="s">
        <v>52</v>
      </c>
      <c r="J562" t="s">
        <v>590</v>
      </c>
      <c r="K562" t="s">
        <v>52</v>
      </c>
      <c r="L562" t="s">
        <v>658</v>
      </c>
      <c r="M562" t="s">
        <v>654</v>
      </c>
      <c r="N562" t="s">
        <v>163</v>
      </c>
      <c r="O562" t="s">
        <v>137</v>
      </c>
      <c r="P562" t="s">
        <v>137</v>
      </c>
      <c r="Q562" t="s">
        <v>51</v>
      </c>
      <c r="R562" t="s">
        <v>51</v>
      </c>
      <c r="S562" t="s">
        <v>51</v>
      </c>
      <c r="T562" t="s">
        <v>51</v>
      </c>
    </row>
    <row r="563" spans="1:20">
      <c r="A563" t="s">
        <v>624</v>
      </c>
      <c r="B563" t="s">
        <v>101</v>
      </c>
      <c r="C563" t="s">
        <v>49</v>
      </c>
      <c r="D563" t="s">
        <v>51</v>
      </c>
      <c r="E563" t="s">
        <v>51</v>
      </c>
      <c r="F563" t="s">
        <v>51</v>
      </c>
      <c r="G563" t="s">
        <v>52</v>
      </c>
      <c r="H563" t="s">
        <v>52</v>
      </c>
      <c r="I563" t="s">
        <v>52</v>
      </c>
      <c r="J563" t="s">
        <v>590</v>
      </c>
      <c r="K563" t="s">
        <v>52</v>
      </c>
      <c r="L563" t="s">
        <v>658</v>
      </c>
      <c r="M563" t="s">
        <v>654</v>
      </c>
      <c r="N563" t="s">
        <v>163</v>
      </c>
      <c r="O563" t="s">
        <v>137</v>
      </c>
      <c r="P563" t="s">
        <v>137</v>
      </c>
      <c r="Q563" t="s">
        <v>51</v>
      </c>
      <c r="R563" t="s">
        <v>51</v>
      </c>
      <c r="S563" t="s">
        <v>51</v>
      </c>
      <c r="T563" t="s">
        <v>51</v>
      </c>
    </row>
    <row r="564" spans="1:20">
      <c r="A564" t="s">
        <v>625</v>
      </c>
      <c r="B564" t="s">
        <v>103</v>
      </c>
      <c r="C564" t="s">
        <v>49</v>
      </c>
      <c r="D564" t="s">
        <v>51</v>
      </c>
      <c r="E564" t="s">
        <v>51</v>
      </c>
      <c r="F564" t="s">
        <v>51</v>
      </c>
      <c r="G564" t="s">
        <v>52</v>
      </c>
      <c r="H564" t="s">
        <v>52</v>
      </c>
      <c r="I564" t="s">
        <v>52</v>
      </c>
      <c r="J564" t="s">
        <v>590</v>
      </c>
      <c r="K564" t="s">
        <v>52</v>
      </c>
      <c r="L564" t="s">
        <v>658</v>
      </c>
      <c r="M564" t="s">
        <v>654</v>
      </c>
      <c r="N564" t="s">
        <v>163</v>
      </c>
      <c r="O564" t="s">
        <v>137</v>
      </c>
      <c r="P564" t="s">
        <v>137</v>
      </c>
      <c r="Q564" t="s">
        <v>51</v>
      </c>
      <c r="R564" t="s">
        <v>51</v>
      </c>
      <c r="S564" t="s">
        <v>51</v>
      </c>
      <c r="T564" t="s">
        <v>51</v>
      </c>
    </row>
    <row r="565" spans="1:20">
      <c r="A565" t="s">
        <v>626</v>
      </c>
      <c r="B565" t="s">
        <v>105</v>
      </c>
      <c r="C565" t="s">
        <v>49</v>
      </c>
      <c r="D565" t="s">
        <v>51</v>
      </c>
      <c r="E565" t="s">
        <v>51</v>
      </c>
      <c r="F565" t="s">
        <v>51</v>
      </c>
      <c r="G565" t="s">
        <v>52</v>
      </c>
      <c r="H565" t="s">
        <v>52</v>
      </c>
      <c r="I565" t="s">
        <v>52</v>
      </c>
      <c r="J565" t="s">
        <v>590</v>
      </c>
      <c r="K565" t="s">
        <v>52</v>
      </c>
      <c r="L565" t="s">
        <v>658</v>
      </c>
      <c r="M565" t="s">
        <v>654</v>
      </c>
      <c r="N565" t="s">
        <v>163</v>
      </c>
      <c r="O565" t="s">
        <v>137</v>
      </c>
      <c r="P565" t="s">
        <v>137</v>
      </c>
      <c r="Q565" t="s">
        <v>51</v>
      </c>
      <c r="R565" t="s">
        <v>51</v>
      </c>
      <c r="S565" t="s">
        <v>51</v>
      </c>
      <c r="T565" t="s">
        <v>51</v>
      </c>
    </row>
    <row r="566" spans="1:20">
      <c r="A566" t="s">
        <v>627</v>
      </c>
      <c r="B566" t="s">
        <v>107</v>
      </c>
      <c r="C566" t="s">
        <v>49</v>
      </c>
      <c r="D566" t="s">
        <v>51</v>
      </c>
      <c r="E566" t="s">
        <v>51</v>
      </c>
      <c r="F566" t="s">
        <v>51</v>
      </c>
      <c r="G566" t="s">
        <v>52</v>
      </c>
      <c r="H566" t="s">
        <v>52</v>
      </c>
      <c r="I566" t="s">
        <v>52</v>
      </c>
      <c r="J566" t="s">
        <v>590</v>
      </c>
      <c r="K566" t="s">
        <v>52</v>
      </c>
      <c r="L566" t="s">
        <v>658</v>
      </c>
      <c r="M566" t="s">
        <v>654</v>
      </c>
      <c r="N566" t="s">
        <v>163</v>
      </c>
      <c r="O566" t="s">
        <v>137</v>
      </c>
      <c r="P566" t="s">
        <v>137</v>
      </c>
      <c r="Q566" t="s">
        <v>51</v>
      </c>
      <c r="R566" t="s">
        <v>51</v>
      </c>
      <c r="S566" t="s">
        <v>51</v>
      </c>
      <c r="T566" t="s">
        <v>51</v>
      </c>
    </row>
    <row r="567" spans="1:20">
      <c r="A567" t="s">
        <v>628</v>
      </c>
      <c r="B567" t="s">
        <v>109</v>
      </c>
      <c r="C567" t="s">
        <v>49</v>
      </c>
      <c r="D567" t="s">
        <v>51</v>
      </c>
      <c r="E567" t="s">
        <v>51</v>
      </c>
      <c r="F567" t="s">
        <v>51</v>
      </c>
      <c r="G567" t="s">
        <v>52</v>
      </c>
      <c r="H567" t="s">
        <v>52</v>
      </c>
      <c r="I567" t="s">
        <v>52</v>
      </c>
      <c r="J567" t="s">
        <v>590</v>
      </c>
      <c r="K567" t="s">
        <v>52</v>
      </c>
      <c r="L567" t="s">
        <v>658</v>
      </c>
      <c r="M567" t="s">
        <v>654</v>
      </c>
      <c r="N567" t="s">
        <v>163</v>
      </c>
      <c r="O567" t="s">
        <v>137</v>
      </c>
      <c r="P567" t="s">
        <v>137</v>
      </c>
      <c r="Q567" t="s">
        <v>51</v>
      </c>
      <c r="R567" t="s">
        <v>51</v>
      </c>
      <c r="S567" t="s">
        <v>51</v>
      </c>
      <c r="T567" t="s">
        <v>51</v>
      </c>
    </row>
    <row r="568" spans="1:20">
      <c r="A568" t="s">
        <v>629</v>
      </c>
      <c r="B568" t="s">
        <v>111</v>
      </c>
      <c r="C568" t="s">
        <v>49</v>
      </c>
      <c r="D568" t="s">
        <v>51</v>
      </c>
      <c r="E568" t="s">
        <v>51</v>
      </c>
      <c r="F568" t="s">
        <v>51</v>
      </c>
      <c r="G568" t="s">
        <v>52</v>
      </c>
      <c r="H568" t="s">
        <v>52</v>
      </c>
      <c r="I568" t="s">
        <v>52</v>
      </c>
      <c r="J568" t="s">
        <v>590</v>
      </c>
      <c r="K568" t="s">
        <v>52</v>
      </c>
      <c r="L568" t="s">
        <v>658</v>
      </c>
      <c r="M568" t="s">
        <v>654</v>
      </c>
      <c r="N568" t="s">
        <v>163</v>
      </c>
      <c r="O568" t="s">
        <v>137</v>
      </c>
      <c r="P568" t="s">
        <v>137</v>
      </c>
      <c r="Q568" t="s">
        <v>51</v>
      </c>
      <c r="R568" t="s">
        <v>51</v>
      </c>
      <c r="S568" t="s">
        <v>51</v>
      </c>
      <c r="T568" t="s">
        <v>51</v>
      </c>
    </row>
    <row r="569" spans="1:20">
      <c r="A569" t="s">
        <v>630</v>
      </c>
      <c r="B569" t="s">
        <v>113</v>
      </c>
      <c r="C569" t="s">
        <v>49</v>
      </c>
      <c r="D569" t="s">
        <v>51</v>
      </c>
      <c r="E569" t="s">
        <v>51</v>
      </c>
      <c r="F569" t="s">
        <v>51</v>
      </c>
      <c r="G569" t="s">
        <v>52</v>
      </c>
      <c r="H569" t="s">
        <v>52</v>
      </c>
      <c r="I569" t="s">
        <v>52</v>
      </c>
      <c r="J569" t="s">
        <v>590</v>
      </c>
      <c r="K569" t="s">
        <v>52</v>
      </c>
      <c r="L569" t="s">
        <v>658</v>
      </c>
      <c r="M569" t="s">
        <v>654</v>
      </c>
      <c r="N569" t="s">
        <v>163</v>
      </c>
      <c r="O569" t="s">
        <v>137</v>
      </c>
      <c r="P569" t="s">
        <v>137</v>
      </c>
      <c r="Q569" t="s">
        <v>51</v>
      </c>
      <c r="R569" t="s">
        <v>51</v>
      </c>
      <c r="S569" t="s">
        <v>51</v>
      </c>
      <c r="T569" t="s">
        <v>51</v>
      </c>
    </row>
    <row r="570" spans="1:20">
      <c r="A570" t="s">
        <v>631</v>
      </c>
      <c r="B570" t="s">
        <v>115</v>
      </c>
      <c r="C570" t="s">
        <v>49</v>
      </c>
      <c r="D570" t="s">
        <v>51</v>
      </c>
      <c r="E570" t="s">
        <v>51</v>
      </c>
      <c r="F570" t="s">
        <v>51</v>
      </c>
      <c r="G570" t="s">
        <v>52</v>
      </c>
      <c r="H570" t="s">
        <v>52</v>
      </c>
      <c r="I570" t="s">
        <v>52</v>
      </c>
      <c r="J570" t="s">
        <v>590</v>
      </c>
      <c r="K570" t="s">
        <v>52</v>
      </c>
      <c r="L570" t="s">
        <v>658</v>
      </c>
      <c r="M570" t="s">
        <v>654</v>
      </c>
      <c r="N570" t="s">
        <v>163</v>
      </c>
      <c r="O570" t="s">
        <v>137</v>
      </c>
      <c r="P570" t="s">
        <v>137</v>
      </c>
      <c r="Q570" t="s">
        <v>51</v>
      </c>
      <c r="R570" t="s">
        <v>51</v>
      </c>
      <c r="S570" t="s">
        <v>51</v>
      </c>
      <c r="T570" t="s">
        <v>51</v>
      </c>
    </row>
    <row r="571" spans="1:20">
      <c r="A571" t="s">
        <v>632</v>
      </c>
      <c r="B571" t="s">
        <v>117</v>
      </c>
      <c r="C571" t="s">
        <v>49</v>
      </c>
      <c r="D571" t="s">
        <v>51</v>
      </c>
      <c r="E571" t="s">
        <v>51</v>
      </c>
      <c r="F571" t="s">
        <v>51</v>
      </c>
      <c r="G571" t="s">
        <v>52</v>
      </c>
      <c r="H571" t="s">
        <v>52</v>
      </c>
      <c r="I571" t="s">
        <v>52</v>
      </c>
      <c r="J571" t="s">
        <v>590</v>
      </c>
      <c r="K571" t="s">
        <v>52</v>
      </c>
      <c r="L571" t="s">
        <v>658</v>
      </c>
      <c r="M571" t="s">
        <v>654</v>
      </c>
      <c r="N571" t="s">
        <v>163</v>
      </c>
      <c r="O571" t="s">
        <v>137</v>
      </c>
      <c r="P571" t="s">
        <v>137</v>
      </c>
      <c r="Q571" t="s">
        <v>51</v>
      </c>
      <c r="R571" t="s">
        <v>51</v>
      </c>
      <c r="S571" t="s">
        <v>51</v>
      </c>
      <c r="T571" t="s">
        <v>51</v>
      </c>
    </row>
    <row r="572" spans="1:20">
      <c r="A572" t="s">
        <v>633</v>
      </c>
      <c r="B572" t="s">
        <v>119</v>
      </c>
      <c r="C572" t="s">
        <v>49</v>
      </c>
      <c r="D572" t="s">
        <v>51</v>
      </c>
      <c r="E572" t="s">
        <v>51</v>
      </c>
      <c r="F572" t="s">
        <v>51</v>
      </c>
      <c r="G572" t="s">
        <v>52</v>
      </c>
      <c r="H572" t="s">
        <v>52</v>
      </c>
      <c r="I572" t="s">
        <v>52</v>
      </c>
      <c r="J572" t="s">
        <v>590</v>
      </c>
      <c r="K572" t="s">
        <v>52</v>
      </c>
      <c r="L572" t="s">
        <v>658</v>
      </c>
      <c r="M572" t="s">
        <v>654</v>
      </c>
      <c r="N572" t="s">
        <v>163</v>
      </c>
      <c r="O572" t="s">
        <v>137</v>
      </c>
      <c r="P572" t="s">
        <v>137</v>
      </c>
      <c r="Q572" t="s">
        <v>51</v>
      </c>
      <c r="R572" t="s">
        <v>51</v>
      </c>
      <c r="S572" t="s">
        <v>51</v>
      </c>
      <c r="T572" t="s">
        <v>51</v>
      </c>
    </row>
    <row r="573" spans="1:20">
      <c r="A573" t="s">
        <v>634</v>
      </c>
      <c r="B573" t="s">
        <v>121</v>
      </c>
      <c r="C573" t="s">
        <v>49</v>
      </c>
      <c r="D573" t="s">
        <v>51</v>
      </c>
      <c r="E573" t="s">
        <v>51</v>
      </c>
      <c r="F573" t="s">
        <v>51</v>
      </c>
      <c r="G573" t="s">
        <v>52</v>
      </c>
      <c r="H573" t="s">
        <v>52</v>
      </c>
      <c r="I573" t="s">
        <v>52</v>
      </c>
      <c r="J573" t="s">
        <v>590</v>
      </c>
      <c r="K573" t="s">
        <v>52</v>
      </c>
      <c r="L573" t="s">
        <v>658</v>
      </c>
      <c r="M573" t="s">
        <v>654</v>
      </c>
      <c r="N573" t="s">
        <v>163</v>
      </c>
      <c r="O573" t="s">
        <v>137</v>
      </c>
      <c r="P573" t="s">
        <v>137</v>
      </c>
      <c r="Q573" t="s">
        <v>51</v>
      </c>
      <c r="R573" t="s">
        <v>51</v>
      </c>
      <c r="S573" t="s">
        <v>51</v>
      </c>
      <c r="T573" t="s">
        <v>51</v>
      </c>
    </row>
    <row r="574" spans="1:20">
      <c r="A574" t="s">
        <v>635</v>
      </c>
      <c r="B574" t="s">
        <v>123</v>
      </c>
      <c r="C574" t="s">
        <v>49</v>
      </c>
      <c r="D574" t="s">
        <v>51</v>
      </c>
      <c r="E574" t="s">
        <v>51</v>
      </c>
      <c r="F574" t="s">
        <v>51</v>
      </c>
      <c r="G574" t="s">
        <v>52</v>
      </c>
      <c r="H574" t="s">
        <v>52</v>
      </c>
      <c r="I574" t="s">
        <v>52</v>
      </c>
      <c r="J574" t="s">
        <v>590</v>
      </c>
      <c r="K574" t="s">
        <v>52</v>
      </c>
      <c r="L574" t="s">
        <v>658</v>
      </c>
      <c r="M574" t="s">
        <v>654</v>
      </c>
      <c r="N574" t="s">
        <v>163</v>
      </c>
      <c r="O574" t="s">
        <v>137</v>
      </c>
      <c r="P574" t="s">
        <v>137</v>
      </c>
      <c r="Q574" t="s">
        <v>51</v>
      </c>
      <c r="R574" t="s">
        <v>51</v>
      </c>
      <c r="S574" t="s">
        <v>51</v>
      </c>
      <c r="T574" t="s">
        <v>51</v>
      </c>
    </row>
    <row r="575" spans="1:20">
      <c r="A575" t="s">
        <v>636</v>
      </c>
      <c r="B575" t="s">
        <v>125</v>
      </c>
      <c r="C575" t="s">
        <v>49</v>
      </c>
      <c r="D575" t="s">
        <v>51</v>
      </c>
      <c r="E575" t="s">
        <v>51</v>
      </c>
      <c r="F575" t="s">
        <v>51</v>
      </c>
      <c r="G575" t="s">
        <v>52</v>
      </c>
      <c r="H575" t="s">
        <v>52</v>
      </c>
      <c r="I575" t="s">
        <v>52</v>
      </c>
      <c r="J575" t="s">
        <v>590</v>
      </c>
      <c r="K575" t="s">
        <v>52</v>
      </c>
      <c r="L575" t="s">
        <v>658</v>
      </c>
      <c r="M575" t="s">
        <v>654</v>
      </c>
      <c r="N575" t="s">
        <v>163</v>
      </c>
      <c r="O575" t="s">
        <v>137</v>
      </c>
      <c r="P575" t="s">
        <v>137</v>
      </c>
      <c r="Q575" t="s">
        <v>51</v>
      </c>
      <c r="R575" t="s">
        <v>51</v>
      </c>
      <c r="S575" t="s">
        <v>51</v>
      </c>
      <c r="T575" t="s">
        <v>51</v>
      </c>
    </row>
    <row r="576" spans="1:20">
      <c r="A576" t="s">
        <v>637</v>
      </c>
      <c r="B576" t="s">
        <v>127</v>
      </c>
      <c r="C576" t="s">
        <v>49</v>
      </c>
      <c r="D576" t="s">
        <v>51</v>
      </c>
      <c r="E576" t="s">
        <v>51</v>
      </c>
      <c r="F576" t="s">
        <v>51</v>
      </c>
      <c r="G576" t="s">
        <v>52</v>
      </c>
      <c r="H576" t="s">
        <v>52</v>
      </c>
      <c r="I576" t="s">
        <v>52</v>
      </c>
      <c r="J576" t="s">
        <v>590</v>
      </c>
      <c r="K576" t="s">
        <v>52</v>
      </c>
      <c r="L576" t="s">
        <v>658</v>
      </c>
      <c r="M576" t="s">
        <v>654</v>
      </c>
      <c r="N576" t="s">
        <v>163</v>
      </c>
      <c r="O576" t="s">
        <v>137</v>
      </c>
      <c r="P576" t="s">
        <v>137</v>
      </c>
      <c r="Q576" t="s">
        <v>51</v>
      </c>
      <c r="R576" t="s">
        <v>51</v>
      </c>
      <c r="S576" t="s">
        <v>51</v>
      </c>
      <c r="T576" t="s">
        <v>51</v>
      </c>
    </row>
    <row r="577" spans="1:20">
      <c r="A577" t="s">
        <v>638</v>
      </c>
      <c r="B577" t="s">
        <v>129</v>
      </c>
      <c r="C577" t="s">
        <v>49</v>
      </c>
      <c r="D577" t="s">
        <v>51</v>
      </c>
      <c r="E577" t="s">
        <v>51</v>
      </c>
      <c r="F577" t="s">
        <v>51</v>
      </c>
      <c r="G577" t="s">
        <v>52</v>
      </c>
      <c r="H577" t="s">
        <v>52</v>
      </c>
      <c r="I577" t="s">
        <v>52</v>
      </c>
      <c r="J577" t="s">
        <v>590</v>
      </c>
      <c r="K577" t="s">
        <v>52</v>
      </c>
      <c r="L577" t="s">
        <v>658</v>
      </c>
      <c r="M577" t="s">
        <v>654</v>
      </c>
      <c r="N577" t="s">
        <v>163</v>
      </c>
      <c r="O577" t="s">
        <v>137</v>
      </c>
      <c r="P577" t="s">
        <v>137</v>
      </c>
      <c r="Q577" t="s">
        <v>51</v>
      </c>
      <c r="R577" t="s">
        <v>51</v>
      </c>
      <c r="S577" t="s">
        <v>51</v>
      </c>
      <c r="T577" t="s">
        <v>51</v>
      </c>
    </row>
    <row r="578" spans="1:20">
      <c r="A578" t="s">
        <v>639</v>
      </c>
      <c r="B578" t="s">
        <v>131</v>
      </c>
      <c r="C578" t="s">
        <v>49</v>
      </c>
      <c r="D578" t="s">
        <v>51</v>
      </c>
      <c r="E578" t="s">
        <v>51</v>
      </c>
      <c r="F578" t="s">
        <v>51</v>
      </c>
      <c r="G578" t="s">
        <v>52</v>
      </c>
      <c r="H578" t="s">
        <v>52</v>
      </c>
      <c r="I578" t="s">
        <v>52</v>
      </c>
      <c r="J578" t="s">
        <v>590</v>
      </c>
      <c r="K578" t="s">
        <v>52</v>
      </c>
      <c r="L578" t="s">
        <v>658</v>
      </c>
      <c r="M578" t="s">
        <v>654</v>
      </c>
      <c r="N578" t="s">
        <v>163</v>
      </c>
      <c r="O578" t="s">
        <v>137</v>
      </c>
      <c r="P578" t="s">
        <v>137</v>
      </c>
      <c r="Q578" t="s">
        <v>51</v>
      </c>
      <c r="R578" t="s">
        <v>51</v>
      </c>
      <c r="S578" t="s">
        <v>51</v>
      </c>
      <c r="T578" t="s">
        <v>51</v>
      </c>
    </row>
    <row r="579" spans="1:20">
      <c r="A579" t="s">
        <v>640</v>
      </c>
      <c r="B579" t="s">
        <v>133</v>
      </c>
      <c r="C579" t="s">
        <v>49</v>
      </c>
      <c r="D579" t="s">
        <v>51</v>
      </c>
      <c r="E579" t="s">
        <v>51</v>
      </c>
      <c r="F579" t="s">
        <v>51</v>
      </c>
      <c r="G579" t="s">
        <v>52</v>
      </c>
      <c r="H579" t="s">
        <v>52</v>
      </c>
      <c r="I579" t="s">
        <v>52</v>
      </c>
      <c r="J579" t="s">
        <v>590</v>
      </c>
      <c r="K579" t="s">
        <v>52</v>
      </c>
      <c r="L579" t="s">
        <v>658</v>
      </c>
      <c r="M579" t="s">
        <v>654</v>
      </c>
      <c r="N579" t="s">
        <v>163</v>
      </c>
      <c r="O579" t="s">
        <v>137</v>
      </c>
      <c r="P579" t="s">
        <v>137</v>
      </c>
      <c r="Q579" t="s">
        <v>51</v>
      </c>
      <c r="R579" t="s">
        <v>51</v>
      </c>
      <c r="S579" t="s">
        <v>51</v>
      </c>
      <c r="T579" t="s">
        <v>51</v>
      </c>
    </row>
    <row r="580" spans="1:20">
      <c r="A580" t="s">
        <v>641</v>
      </c>
      <c r="B580" t="s">
        <v>135</v>
      </c>
      <c r="C580" t="s">
        <v>49</v>
      </c>
      <c r="D580" t="s">
        <v>51</v>
      </c>
      <c r="E580" t="s">
        <v>51</v>
      </c>
      <c r="F580" t="s">
        <v>51</v>
      </c>
      <c r="G580" t="s">
        <v>52</v>
      </c>
      <c r="H580" t="s">
        <v>52</v>
      </c>
      <c r="I580" t="s">
        <v>52</v>
      </c>
      <c r="J580" t="s">
        <v>590</v>
      </c>
      <c r="K580" t="s">
        <v>52</v>
      </c>
      <c r="L580" t="s">
        <v>658</v>
      </c>
      <c r="M580" t="s">
        <v>654</v>
      </c>
      <c r="N580" t="s">
        <v>163</v>
      </c>
      <c r="O580" t="s">
        <v>137</v>
      </c>
      <c r="P580" t="s">
        <v>137</v>
      </c>
      <c r="Q580" t="s">
        <v>51</v>
      </c>
      <c r="R580" t="s">
        <v>51</v>
      </c>
      <c r="S580" t="s">
        <v>51</v>
      </c>
      <c r="T580" t="s">
        <v>51</v>
      </c>
    </row>
    <row r="581" spans="1:20">
      <c r="A581" t="s">
        <v>642</v>
      </c>
      <c r="B581" t="s">
        <v>137</v>
      </c>
      <c r="C581" t="s">
        <v>49</v>
      </c>
      <c r="D581" t="s">
        <v>51</v>
      </c>
      <c r="E581" t="s">
        <v>51</v>
      </c>
      <c r="F581" t="s">
        <v>51</v>
      </c>
      <c r="G581" t="s">
        <v>52</v>
      </c>
      <c r="H581" t="s">
        <v>52</v>
      </c>
      <c r="I581" t="s">
        <v>52</v>
      </c>
      <c r="J581" t="s">
        <v>590</v>
      </c>
      <c r="K581" t="s">
        <v>52</v>
      </c>
      <c r="L581" t="s">
        <v>658</v>
      </c>
      <c r="M581" t="s">
        <v>654</v>
      </c>
      <c r="N581" t="s">
        <v>163</v>
      </c>
      <c r="O581" t="s">
        <v>137</v>
      </c>
      <c r="P581" t="s">
        <v>137</v>
      </c>
      <c r="Q581" t="s">
        <v>51</v>
      </c>
      <c r="R581" t="s">
        <v>51</v>
      </c>
      <c r="S581" t="s">
        <v>51</v>
      </c>
      <c r="T581" t="s">
        <v>51</v>
      </c>
    </row>
    <row r="582" spans="1:20">
      <c r="A582" t="s">
        <v>643</v>
      </c>
      <c r="B582" t="s">
        <v>139</v>
      </c>
      <c r="C582" t="s">
        <v>49</v>
      </c>
      <c r="D582" t="s">
        <v>51</v>
      </c>
      <c r="E582" t="s">
        <v>51</v>
      </c>
      <c r="F582" t="s">
        <v>51</v>
      </c>
      <c r="G582" t="s">
        <v>52</v>
      </c>
      <c r="H582" t="s">
        <v>52</v>
      </c>
      <c r="I582" t="s">
        <v>52</v>
      </c>
      <c r="J582" t="s">
        <v>590</v>
      </c>
      <c r="K582" t="s">
        <v>52</v>
      </c>
      <c r="L582" t="s">
        <v>658</v>
      </c>
      <c r="M582" t="s">
        <v>654</v>
      </c>
      <c r="N582" t="s">
        <v>163</v>
      </c>
      <c r="O582" t="s">
        <v>137</v>
      </c>
      <c r="P582" t="s">
        <v>137</v>
      </c>
      <c r="Q582" t="s">
        <v>51</v>
      </c>
      <c r="R582" t="s">
        <v>51</v>
      </c>
      <c r="S582" t="s">
        <v>51</v>
      </c>
      <c r="T582" t="s">
        <v>51</v>
      </c>
    </row>
    <row r="583" spans="1:20">
      <c r="A583" t="s">
        <v>644</v>
      </c>
      <c r="B583" t="s">
        <v>141</v>
      </c>
      <c r="C583" t="s">
        <v>49</v>
      </c>
      <c r="D583" t="s">
        <v>51</v>
      </c>
      <c r="E583" t="s">
        <v>51</v>
      </c>
      <c r="F583" t="s">
        <v>51</v>
      </c>
      <c r="G583" t="s">
        <v>52</v>
      </c>
      <c r="H583" t="s">
        <v>52</v>
      </c>
      <c r="I583" t="s">
        <v>52</v>
      </c>
      <c r="J583" t="s">
        <v>590</v>
      </c>
      <c r="K583" t="s">
        <v>52</v>
      </c>
      <c r="L583" t="s">
        <v>658</v>
      </c>
      <c r="M583" t="s">
        <v>654</v>
      </c>
      <c r="N583" t="s">
        <v>163</v>
      </c>
      <c r="O583" t="s">
        <v>137</v>
      </c>
      <c r="P583" t="s">
        <v>137</v>
      </c>
      <c r="Q583" t="s">
        <v>51</v>
      </c>
      <c r="R583" t="s">
        <v>51</v>
      </c>
      <c r="S583" t="s">
        <v>51</v>
      </c>
      <c r="T583" t="s">
        <v>51</v>
      </c>
    </row>
    <row r="584" spans="1:20">
      <c r="A584" t="s">
        <v>645</v>
      </c>
      <c r="B584" t="s">
        <v>143</v>
      </c>
      <c r="C584" t="s">
        <v>49</v>
      </c>
      <c r="D584" t="s">
        <v>51</v>
      </c>
      <c r="E584" t="s">
        <v>51</v>
      </c>
      <c r="F584" t="s">
        <v>51</v>
      </c>
      <c r="G584" t="s">
        <v>52</v>
      </c>
      <c r="H584" t="s">
        <v>52</v>
      </c>
      <c r="I584" t="s">
        <v>52</v>
      </c>
      <c r="J584" t="s">
        <v>590</v>
      </c>
      <c r="K584" t="s">
        <v>52</v>
      </c>
      <c r="L584" t="s">
        <v>658</v>
      </c>
      <c r="M584" t="s">
        <v>654</v>
      </c>
      <c r="N584" t="s">
        <v>163</v>
      </c>
      <c r="O584" t="s">
        <v>137</v>
      </c>
      <c r="P584" t="s">
        <v>137</v>
      </c>
      <c r="Q584" t="s">
        <v>51</v>
      </c>
      <c r="R584" t="s">
        <v>51</v>
      </c>
      <c r="S584" t="s">
        <v>51</v>
      </c>
      <c r="T584" t="s">
        <v>51</v>
      </c>
    </row>
    <row r="585" spans="1:20">
      <c r="A585" t="s">
        <v>646</v>
      </c>
      <c r="B585" t="s">
        <v>145</v>
      </c>
      <c r="C585" t="s">
        <v>49</v>
      </c>
      <c r="D585" t="s">
        <v>51</v>
      </c>
      <c r="E585" t="s">
        <v>51</v>
      </c>
      <c r="F585" t="s">
        <v>51</v>
      </c>
      <c r="G585" t="s">
        <v>52</v>
      </c>
      <c r="H585" t="s">
        <v>52</v>
      </c>
      <c r="I585" t="s">
        <v>52</v>
      </c>
      <c r="J585" t="s">
        <v>590</v>
      </c>
      <c r="K585" t="s">
        <v>52</v>
      </c>
      <c r="L585" t="s">
        <v>658</v>
      </c>
      <c r="M585" t="s">
        <v>654</v>
      </c>
      <c r="N585" t="s">
        <v>163</v>
      </c>
      <c r="O585" t="s">
        <v>137</v>
      </c>
      <c r="P585" t="s">
        <v>137</v>
      </c>
      <c r="Q585" t="s">
        <v>51</v>
      </c>
      <c r="R585" t="s">
        <v>51</v>
      </c>
      <c r="S585" t="s">
        <v>51</v>
      </c>
      <c r="T585" t="s">
        <v>51</v>
      </c>
    </row>
    <row r="586" spans="1:20">
      <c r="A586" t="s">
        <v>647</v>
      </c>
      <c r="B586" t="s">
        <v>147</v>
      </c>
      <c r="C586" t="s">
        <v>49</v>
      </c>
      <c r="D586" t="s">
        <v>51</v>
      </c>
      <c r="E586" t="s">
        <v>51</v>
      </c>
      <c r="F586" t="s">
        <v>51</v>
      </c>
      <c r="G586" t="s">
        <v>52</v>
      </c>
      <c r="H586" t="s">
        <v>52</v>
      </c>
      <c r="I586" t="s">
        <v>52</v>
      </c>
      <c r="J586" t="s">
        <v>590</v>
      </c>
      <c r="K586" t="s">
        <v>52</v>
      </c>
      <c r="L586" t="s">
        <v>658</v>
      </c>
      <c r="M586" t="s">
        <v>654</v>
      </c>
      <c r="N586" t="s">
        <v>163</v>
      </c>
      <c r="O586" t="s">
        <v>137</v>
      </c>
      <c r="P586" t="s">
        <v>137</v>
      </c>
      <c r="Q586" t="s">
        <v>51</v>
      </c>
      <c r="R586" t="s">
        <v>51</v>
      </c>
      <c r="S586" t="s">
        <v>51</v>
      </c>
      <c r="T586" t="s">
        <v>51</v>
      </c>
    </row>
    <row r="587" spans="1:20">
      <c r="A587" t="s">
        <v>648</v>
      </c>
      <c r="B587" t="s">
        <v>149</v>
      </c>
      <c r="C587" t="s">
        <v>49</v>
      </c>
      <c r="D587" t="s">
        <v>51</v>
      </c>
      <c r="E587" t="s">
        <v>51</v>
      </c>
      <c r="F587" t="s">
        <v>51</v>
      </c>
      <c r="G587" t="s">
        <v>52</v>
      </c>
      <c r="H587" t="s">
        <v>52</v>
      </c>
      <c r="I587" t="s">
        <v>52</v>
      </c>
      <c r="J587" t="s">
        <v>590</v>
      </c>
      <c r="K587" t="s">
        <v>52</v>
      </c>
      <c r="L587" t="s">
        <v>658</v>
      </c>
      <c r="M587" t="s">
        <v>654</v>
      </c>
      <c r="N587" t="s">
        <v>163</v>
      </c>
      <c r="O587" t="s">
        <v>137</v>
      </c>
      <c r="P587" t="s">
        <v>137</v>
      </c>
      <c r="Q587" t="s">
        <v>51</v>
      </c>
      <c r="R587" t="s">
        <v>51</v>
      </c>
      <c r="S587" t="s">
        <v>51</v>
      </c>
      <c r="T587" t="s">
        <v>51</v>
      </c>
    </row>
    <row r="588" spans="1:20">
      <c r="A588" t="s">
        <v>649</v>
      </c>
      <c r="B588" t="s">
        <v>151</v>
      </c>
      <c r="C588" t="s">
        <v>49</v>
      </c>
      <c r="D588" t="s">
        <v>51</v>
      </c>
      <c r="E588" t="s">
        <v>51</v>
      </c>
      <c r="F588" t="s">
        <v>51</v>
      </c>
      <c r="G588" t="s">
        <v>52</v>
      </c>
      <c r="H588" t="s">
        <v>52</v>
      </c>
      <c r="I588" t="s">
        <v>52</v>
      </c>
      <c r="J588" t="s">
        <v>590</v>
      </c>
      <c r="K588" t="s">
        <v>52</v>
      </c>
      <c r="L588" t="s">
        <v>658</v>
      </c>
      <c r="M588" t="s">
        <v>654</v>
      </c>
      <c r="N588" t="s">
        <v>163</v>
      </c>
      <c r="O588" t="s">
        <v>137</v>
      </c>
      <c r="P588" t="s">
        <v>137</v>
      </c>
      <c r="Q588" t="s">
        <v>51</v>
      </c>
      <c r="R588" t="s">
        <v>51</v>
      </c>
      <c r="S588" t="s">
        <v>51</v>
      </c>
      <c r="T588" t="s">
        <v>51</v>
      </c>
    </row>
    <row r="589" spans="1:20">
      <c r="A589" t="s">
        <v>650</v>
      </c>
      <c r="B589" t="s">
        <v>153</v>
      </c>
      <c r="C589" t="s">
        <v>49</v>
      </c>
      <c r="D589" t="s">
        <v>51</v>
      </c>
      <c r="E589" t="s">
        <v>51</v>
      </c>
      <c r="F589" t="s">
        <v>51</v>
      </c>
      <c r="G589" t="s">
        <v>52</v>
      </c>
      <c r="H589" t="s">
        <v>52</v>
      </c>
      <c r="I589" t="s">
        <v>52</v>
      </c>
      <c r="J589" t="s">
        <v>590</v>
      </c>
      <c r="K589" t="s">
        <v>52</v>
      </c>
      <c r="L589" t="s">
        <v>658</v>
      </c>
      <c r="M589" t="s">
        <v>654</v>
      </c>
      <c r="N589" t="s">
        <v>163</v>
      </c>
      <c r="O589" t="s">
        <v>137</v>
      </c>
      <c r="P589" t="s">
        <v>137</v>
      </c>
      <c r="Q589" t="s">
        <v>51</v>
      </c>
      <c r="R589" t="s">
        <v>51</v>
      </c>
      <c r="S589" t="s">
        <v>51</v>
      </c>
      <c r="T589" t="s">
        <v>51</v>
      </c>
    </row>
    <row r="590" spans="1:20">
      <c r="A590" t="s">
        <v>588</v>
      </c>
      <c r="B590" t="s">
        <v>589</v>
      </c>
      <c r="C590" t="s">
        <v>165</v>
      </c>
      <c r="D590" t="s">
        <v>50</v>
      </c>
      <c r="E590" t="s">
        <v>51</v>
      </c>
      <c r="F590" t="s">
        <v>51</v>
      </c>
      <c r="G590" t="s">
        <v>52</v>
      </c>
      <c r="H590" t="s">
        <v>52</v>
      </c>
      <c r="I590" t="s">
        <v>52</v>
      </c>
      <c r="J590" t="s">
        <v>52</v>
      </c>
      <c r="K590" t="s">
        <v>52</v>
      </c>
      <c r="L590" t="s">
        <v>659</v>
      </c>
      <c r="M590" t="s">
        <v>654</v>
      </c>
      <c r="N590" t="s">
        <v>163</v>
      </c>
      <c r="O590" t="s">
        <v>139</v>
      </c>
      <c r="P590" t="s">
        <v>139</v>
      </c>
      <c r="Q590" t="s">
        <v>51</v>
      </c>
      <c r="R590" t="s">
        <v>51</v>
      </c>
      <c r="S590" t="s">
        <v>51</v>
      </c>
      <c r="T590" t="s">
        <v>51</v>
      </c>
    </row>
    <row r="591" spans="1:20">
      <c r="A591" t="s">
        <v>606</v>
      </c>
      <c r="B591" t="s">
        <v>65</v>
      </c>
      <c r="C591" t="s">
        <v>49</v>
      </c>
      <c r="D591" t="s">
        <v>51</v>
      </c>
      <c r="E591" t="s">
        <v>51</v>
      </c>
      <c r="F591" t="s">
        <v>51</v>
      </c>
      <c r="G591" t="s">
        <v>52</v>
      </c>
      <c r="H591" t="s">
        <v>52</v>
      </c>
      <c r="I591" t="s">
        <v>52</v>
      </c>
      <c r="J591" t="s">
        <v>590</v>
      </c>
      <c r="K591" t="s">
        <v>52</v>
      </c>
      <c r="L591" t="s">
        <v>659</v>
      </c>
      <c r="M591" t="s">
        <v>654</v>
      </c>
      <c r="N591" t="s">
        <v>163</v>
      </c>
      <c r="O591" t="s">
        <v>139</v>
      </c>
      <c r="P591" t="s">
        <v>139</v>
      </c>
      <c r="Q591" t="s">
        <v>51</v>
      </c>
      <c r="R591" t="s">
        <v>51</v>
      </c>
      <c r="S591" t="s">
        <v>51</v>
      </c>
      <c r="T591" t="s">
        <v>51</v>
      </c>
    </row>
    <row r="592" spans="1:20">
      <c r="A592" t="s">
        <v>607</v>
      </c>
      <c r="B592" t="s">
        <v>67</v>
      </c>
      <c r="C592" t="s">
        <v>49</v>
      </c>
      <c r="D592" t="s">
        <v>51</v>
      </c>
      <c r="E592" t="s">
        <v>51</v>
      </c>
      <c r="F592" t="s">
        <v>51</v>
      </c>
      <c r="G592" t="s">
        <v>52</v>
      </c>
      <c r="H592" t="s">
        <v>52</v>
      </c>
      <c r="I592" t="s">
        <v>52</v>
      </c>
      <c r="J592" t="s">
        <v>590</v>
      </c>
      <c r="K592" t="s">
        <v>52</v>
      </c>
      <c r="L592" t="s">
        <v>659</v>
      </c>
      <c r="M592" t="s">
        <v>654</v>
      </c>
      <c r="N592" t="s">
        <v>163</v>
      </c>
      <c r="O592" t="s">
        <v>139</v>
      </c>
      <c r="P592" t="s">
        <v>139</v>
      </c>
      <c r="Q592" t="s">
        <v>51</v>
      </c>
      <c r="R592" t="s">
        <v>51</v>
      </c>
      <c r="S592" t="s">
        <v>51</v>
      </c>
      <c r="T592" t="s">
        <v>51</v>
      </c>
    </row>
    <row r="593" spans="1:20">
      <c r="A593" t="s">
        <v>608</v>
      </c>
      <c r="B593" t="s">
        <v>69</v>
      </c>
      <c r="C593" t="s">
        <v>49</v>
      </c>
      <c r="D593" t="s">
        <v>51</v>
      </c>
      <c r="E593" t="s">
        <v>51</v>
      </c>
      <c r="F593" t="s">
        <v>51</v>
      </c>
      <c r="G593" t="s">
        <v>52</v>
      </c>
      <c r="H593" t="s">
        <v>52</v>
      </c>
      <c r="I593" t="s">
        <v>52</v>
      </c>
      <c r="J593" t="s">
        <v>590</v>
      </c>
      <c r="K593" t="s">
        <v>52</v>
      </c>
      <c r="L593" t="s">
        <v>659</v>
      </c>
      <c r="M593" t="s">
        <v>654</v>
      </c>
      <c r="N593" t="s">
        <v>163</v>
      </c>
      <c r="O593" t="s">
        <v>139</v>
      </c>
      <c r="P593" t="s">
        <v>139</v>
      </c>
      <c r="Q593" t="s">
        <v>51</v>
      </c>
      <c r="R593" t="s">
        <v>51</v>
      </c>
      <c r="S593" t="s">
        <v>51</v>
      </c>
      <c r="T593" t="s">
        <v>51</v>
      </c>
    </row>
    <row r="594" spans="1:20">
      <c r="A594" t="s">
        <v>609</v>
      </c>
      <c r="B594" t="s">
        <v>71</v>
      </c>
      <c r="C594" t="s">
        <v>49</v>
      </c>
      <c r="D594" t="s">
        <v>51</v>
      </c>
      <c r="E594" t="s">
        <v>51</v>
      </c>
      <c r="F594" t="s">
        <v>51</v>
      </c>
      <c r="G594" t="s">
        <v>52</v>
      </c>
      <c r="H594" t="s">
        <v>52</v>
      </c>
      <c r="I594" t="s">
        <v>52</v>
      </c>
      <c r="J594" t="s">
        <v>590</v>
      </c>
      <c r="K594" t="s">
        <v>52</v>
      </c>
      <c r="L594" t="s">
        <v>659</v>
      </c>
      <c r="M594" t="s">
        <v>654</v>
      </c>
      <c r="N594" t="s">
        <v>163</v>
      </c>
      <c r="O594" t="s">
        <v>139</v>
      </c>
      <c r="P594" t="s">
        <v>139</v>
      </c>
      <c r="Q594" t="s">
        <v>51</v>
      </c>
      <c r="R594" t="s">
        <v>51</v>
      </c>
      <c r="S594" t="s">
        <v>51</v>
      </c>
      <c r="T594" t="s">
        <v>51</v>
      </c>
    </row>
    <row r="595" spans="1:20">
      <c r="A595" t="s">
        <v>610</v>
      </c>
      <c r="B595" t="s">
        <v>73</v>
      </c>
      <c r="C595" t="s">
        <v>49</v>
      </c>
      <c r="D595" t="s">
        <v>51</v>
      </c>
      <c r="E595" t="s">
        <v>51</v>
      </c>
      <c r="F595" t="s">
        <v>51</v>
      </c>
      <c r="G595" t="s">
        <v>52</v>
      </c>
      <c r="H595" t="s">
        <v>52</v>
      </c>
      <c r="I595" t="s">
        <v>52</v>
      </c>
      <c r="J595" t="s">
        <v>590</v>
      </c>
      <c r="K595" t="s">
        <v>52</v>
      </c>
      <c r="L595" t="s">
        <v>659</v>
      </c>
      <c r="M595" t="s">
        <v>654</v>
      </c>
      <c r="N595" t="s">
        <v>163</v>
      </c>
      <c r="O595" t="s">
        <v>139</v>
      </c>
      <c r="P595" t="s">
        <v>139</v>
      </c>
      <c r="Q595" t="s">
        <v>51</v>
      </c>
      <c r="R595" t="s">
        <v>51</v>
      </c>
      <c r="S595" t="s">
        <v>51</v>
      </c>
      <c r="T595" t="s">
        <v>51</v>
      </c>
    </row>
    <row r="596" spans="1:20">
      <c r="A596" t="s">
        <v>611</v>
      </c>
      <c r="B596" t="s">
        <v>75</v>
      </c>
      <c r="C596" t="s">
        <v>49</v>
      </c>
      <c r="D596" t="s">
        <v>51</v>
      </c>
      <c r="E596" t="s">
        <v>51</v>
      </c>
      <c r="F596" t="s">
        <v>51</v>
      </c>
      <c r="G596" t="s">
        <v>52</v>
      </c>
      <c r="H596" t="s">
        <v>52</v>
      </c>
      <c r="I596" t="s">
        <v>52</v>
      </c>
      <c r="J596" t="s">
        <v>590</v>
      </c>
      <c r="K596" t="s">
        <v>52</v>
      </c>
      <c r="L596" t="s">
        <v>659</v>
      </c>
      <c r="M596" t="s">
        <v>654</v>
      </c>
      <c r="N596" t="s">
        <v>163</v>
      </c>
      <c r="O596" t="s">
        <v>139</v>
      </c>
      <c r="P596" t="s">
        <v>139</v>
      </c>
      <c r="Q596" t="s">
        <v>51</v>
      </c>
      <c r="R596" t="s">
        <v>51</v>
      </c>
      <c r="S596" t="s">
        <v>51</v>
      </c>
      <c r="T596" t="s">
        <v>51</v>
      </c>
    </row>
    <row r="597" spans="1:20">
      <c r="A597" t="s">
        <v>612</v>
      </c>
      <c r="B597" t="s">
        <v>77</v>
      </c>
      <c r="C597" t="s">
        <v>49</v>
      </c>
      <c r="D597" t="s">
        <v>51</v>
      </c>
      <c r="E597" t="s">
        <v>51</v>
      </c>
      <c r="F597" t="s">
        <v>51</v>
      </c>
      <c r="G597" t="s">
        <v>52</v>
      </c>
      <c r="H597" t="s">
        <v>52</v>
      </c>
      <c r="I597" t="s">
        <v>52</v>
      </c>
      <c r="J597" t="s">
        <v>590</v>
      </c>
      <c r="K597" t="s">
        <v>52</v>
      </c>
      <c r="L597" t="s">
        <v>659</v>
      </c>
      <c r="M597" t="s">
        <v>654</v>
      </c>
      <c r="N597" t="s">
        <v>163</v>
      </c>
      <c r="O597" t="s">
        <v>139</v>
      </c>
      <c r="P597" t="s">
        <v>139</v>
      </c>
      <c r="Q597" t="s">
        <v>51</v>
      </c>
      <c r="R597" t="s">
        <v>51</v>
      </c>
      <c r="S597" t="s">
        <v>51</v>
      </c>
      <c r="T597" t="s">
        <v>51</v>
      </c>
    </row>
    <row r="598" spans="1:20">
      <c r="A598" t="s">
        <v>613</v>
      </c>
      <c r="B598" t="s">
        <v>79</v>
      </c>
      <c r="C598" t="s">
        <v>49</v>
      </c>
      <c r="D598" t="s">
        <v>51</v>
      </c>
      <c r="E598" t="s">
        <v>51</v>
      </c>
      <c r="F598" t="s">
        <v>51</v>
      </c>
      <c r="G598" t="s">
        <v>52</v>
      </c>
      <c r="H598" t="s">
        <v>52</v>
      </c>
      <c r="I598" t="s">
        <v>52</v>
      </c>
      <c r="J598" t="s">
        <v>590</v>
      </c>
      <c r="K598" t="s">
        <v>52</v>
      </c>
      <c r="L598" t="s">
        <v>659</v>
      </c>
      <c r="M598" t="s">
        <v>654</v>
      </c>
      <c r="N598" t="s">
        <v>163</v>
      </c>
      <c r="O598" t="s">
        <v>139</v>
      </c>
      <c r="P598" t="s">
        <v>139</v>
      </c>
      <c r="Q598" t="s">
        <v>51</v>
      </c>
      <c r="R598" t="s">
        <v>51</v>
      </c>
      <c r="S598" t="s">
        <v>51</v>
      </c>
      <c r="T598" t="s">
        <v>51</v>
      </c>
    </row>
    <row r="599" spans="1:20">
      <c r="A599" t="s">
        <v>614</v>
      </c>
      <c r="B599" t="s">
        <v>81</v>
      </c>
      <c r="C599" t="s">
        <v>49</v>
      </c>
      <c r="D599" t="s">
        <v>51</v>
      </c>
      <c r="E599" t="s">
        <v>51</v>
      </c>
      <c r="F599" t="s">
        <v>51</v>
      </c>
      <c r="G599" t="s">
        <v>52</v>
      </c>
      <c r="H599" t="s">
        <v>52</v>
      </c>
      <c r="I599" t="s">
        <v>52</v>
      </c>
      <c r="J599" t="s">
        <v>590</v>
      </c>
      <c r="K599" t="s">
        <v>52</v>
      </c>
      <c r="L599" t="s">
        <v>659</v>
      </c>
      <c r="M599" t="s">
        <v>654</v>
      </c>
      <c r="N599" t="s">
        <v>163</v>
      </c>
      <c r="O599" t="s">
        <v>139</v>
      </c>
      <c r="P599" t="s">
        <v>139</v>
      </c>
      <c r="Q599" t="s">
        <v>51</v>
      </c>
      <c r="R599" t="s">
        <v>51</v>
      </c>
      <c r="S599" t="s">
        <v>51</v>
      </c>
      <c r="T599" t="s">
        <v>51</v>
      </c>
    </row>
    <row r="600" spans="1:20">
      <c r="A600" t="s">
        <v>615</v>
      </c>
      <c r="B600" t="s">
        <v>83</v>
      </c>
      <c r="C600" t="s">
        <v>49</v>
      </c>
      <c r="D600" t="s">
        <v>51</v>
      </c>
      <c r="E600" t="s">
        <v>51</v>
      </c>
      <c r="F600" t="s">
        <v>51</v>
      </c>
      <c r="G600" t="s">
        <v>52</v>
      </c>
      <c r="H600" t="s">
        <v>52</v>
      </c>
      <c r="I600" t="s">
        <v>52</v>
      </c>
      <c r="J600" t="s">
        <v>590</v>
      </c>
      <c r="K600" t="s">
        <v>52</v>
      </c>
      <c r="L600" t="s">
        <v>659</v>
      </c>
      <c r="M600" t="s">
        <v>654</v>
      </c>
      <c r="N600" t="s">
        <v>163</v>
      </c>
      <c r="O600" t="s">
        <v>139</v>
      </c>
      <c r="P600" t="s">
        <v>139</v>
      </c>
      <c r="Q600" t="s">
        <v>51</v>
      </c>
      <c r="R600" t="s">
        <v>51</v>
      </c>
      <c r="S600" t="s">
        <v>51</v>
      </c>
      <c r="T600" t="s">
        <v>51</v>
      </c>
    </row>
    <row r="601" spans="1:20">
      <c r="A601" t="s">
        <v>616</v>
      </c>
      <c r="B601" t="s">
        <v>85</v>
      </c>
      <c r="C601" t="s">
        <v>49</v>
      </c>
      <c r="D601" t="s">
        <v>51</v>
      </c>
      <c r="E601" t="s">
        <v>51</v>
      </c>
      <c r="F601" t="s">
        <v>51</v>
      </c>
      <c r="G601" t="s">
        <v>52</v>
      </c>
      <c r="H601" t="s">
        <v>52</v>
      </c>
      <c r="I601" t="s">
        <v>52</v>
      </c>
      <c r="J601" t="s">
        <v>590</v>
      </c>
      <c r="K601" t="s">
        <v>52</v>
      </c>
      <c r="L601" t="s">
        <v>659</v>
      </c>
      <c r="M601" t="s">
        <v>654</v>
      </c>
      <c r="N601" t="s">
        <v>163</v>
      </c>
      <c r="O601" t="s">
        <v>139</v>
      </c>
      <c r="P601" t="s">
        <v>139</v>
      </c>
      <c r="Q601" t="s">
        <v>51</v>
      </c>
      <c r="R601" t="s">
        <v>51</v>
      </c>
      <c r="S601" t="s">
        <v>51</v>
      </c>
      <c r="T601" t="s">
        <v>51</v>
      </c>
    </row>
    <row r="602" spans="1:20">
      <c r="A602" t="s">
        <v>617</v>
      </c>
      <c r="B602" t="s">
        <v>87</v>
      </c>
      <c r="C602" t="s">
        <v>49</v>
      </c>
      <c r="D602" t="s">
        <v>51</v>
      </c>
      <c r="E602" t="s">
        <v>51</v>
      </c>
      <c r="F602" t="s">
        <v>51</v>
      </c>
      <c r="G602" t="s">
        <v>52</v>
      </c>
      <c r="H602" t="s">
        <v>52</v>
      </c>
      <c r="I602" t="s">
        <v>52</v>
      </c>
      <c r="J602" t="s">
        <v>590</v>
      </c>
      <c r="K602" t="s">
        <v>52</v>
      </c>
      <c r="L602" t="s">
        <v>659</v>
      </c>
      <c r="M602" t="s">
        <v>654</v>
      </c>
      <c r="N602" t="s">
        <v>163</v>
      </c>
      <c r="O602" t="s">
        <v>139</v>
      </c>
      <c r="P602" t="s">
        <v>139</v>
      </c>
      <c r="Q602" t="s">
        <v>51</v>
      </c>
      <c r="R602" t="s">
        <v>51</v>
      </c>
      <c r="S602" t="s">
        <v>51</v>
      </c>
      <c r="T602" t="s">
        <v>51</v>
      </c>
    </row>
    <row r="603" spans="1:20">
      <c r="A603" t="s">
        <v>618</v>
      </c>
      <c r="B603" t="s">
        <v>89</v>
      </c>
      <c r="C603" t="s">
        <v>49</v>
      </c>
      <c r="D603" t="s">
        <v>51</v>
      </c>
      <c r="E603" t="s">
        <v>51</v>
      </c>
      <c r="F603" t="s">
        <v>51</v>
      </c>
      <c r="G603" t="s">
        <v>52</v>
      </c>
      <c r="H603" t="s">
        <v>52</v>
      </c>
      <c r="I603" t="s">
        <v>52</v>
      </c>
      <c r="J603" t="s">
        <v>590</v>
      </c>
      <c r="K603" t="s">
        <v>52</v>
      </c>
      <c r="L603" t="s">
        <v>659</v>
      </c>
      <c r="M603" t="s">
        <v>654</v>
      </c>
      <c r="N603" t="s">
        <v>163</v>
      </c>
      <c r="O603" t="s">
        <v>139</v>
      </c>
      <c r="P603" t="s">
        <v>139</v>
      </c>
      <c r="Q603" t="s">
        <v>51</v>
      </c>
      <c r="R603" t="s">
        <v>51</v>
      </c>
      <c r="S603" t="s">
        <v>51</v>
      </c>
      <c r="T603" t="s">
        <v>51</v>
      </c>
    </row>
    <row r="604" spans="1:20">
      <c r="A604" t="s">
        <v>619</v>
      </c>
      <c r="B604" t="s">
        <v>91</v>
      </c>
      <c r="C604" t="s">
        <v>49</v>
      </c>
      <c r="D604" t="s">
        <v>51</v>
      </c>
      <c r="E604" t="s">
        <v>51</v>
      </c>
      <c r="F604" t="s">
        <v>51</v>
      </c>
      <c r="G604" t="s">
        <v>52</v>
      </c>
      <c r="H604" t="s">
        <v>52</v>
      </c>
      <c r="I604" t="s">
        <v>52</v>
      </c>
      <c r="J604" t="s">
        <v>590</v>
      </c>
      <c r="K604" t="s">
        <v>52</v>
      </c>
      <c r="L604" t="s">
        <v>659</v>
      </c>
      <c r="M604" t="s">
        <v>654</v>
      </c>
      <c r="N604" t="s">
        <v>163</v>
      </c>
      <c r="O604" t="s">
        <v>139</v>
      </c>
      <c r="P604" t="s">
        <v>139</v>
      </c>
      <c r="Q604" t="s">
        <v>51</v>
      </c>
      <c r="R604" t="s">
        <v>51</v>
      </c>
      <c r="S604" t="s">
        <v>51</v>
      </c>
      <c r="T604" t="s">
        <v>51</v>
      </c>
    </row>
    <row r="605" spans="1:20">
      <c r="A605" t="s">
        <v>620</v>
      </c>
      <c r="B605" t="s">
        <v>93</v>
      </c>
      <c r="C605" t="s">
        <v>49</v>
      </c>
      <c r="D605" t="s">
        <v>51</v>
      </c>
      <c r="E605" t="s">
        <v>51</v>
      </c>
      <c r="F605" t="s">
        <v>51</v>
      </c>
      <c r="G605" t="s">
        <v>52</v>
      </c>
      <c r="H605" t="s">
        <v>52</v>
      </c>
      <c r="I605" t="s">
        <v>52</v>
      </c>
      <c r="J605" t="s">
        <v>590</v>
      </c>
      <c r="K605" t="s">
        <v>52</v>
      </c>
      <c r="L605" t="s">
        <v>659</v>
      </c>
      <c r="M605" t="s">
        <v>654</v>
      </c>
      <c r="N605" t="s">
        <v>163</v>
      </c>
      <c r="O605" t="s">
        <v>139</v>
      </c>
      <c r="P605" t="s">
        <v>139</v>
      </c>
      <c r="Q605" t="s">
        <v>51</v>
      </c>
      <c r="R605" t="s">
        <v>51</v>
      </c>
      <c r="S605" t="s">
        <v>51</v>
      </c>
      <c r="T605" t="s">
        <v>51</v>
      </c>
    </row>
    <row r="606" spans="1:20">
      <c r="A606" t="s">
        <v>621</v>
      </c>
      <c r="B606" t="s">
        <v>95</v>
      </c>
      <c r="C606" t="s">
        <v>49</v>
      </c>
      <c r="D606" t="s">
        <v>51</v>
      </c>
      <c r="E606" t="s">
        <v>51</v>
      </c>
      <c r="F606" t="s">
        <v>51</v>
      </c>
      <c r="G606" t="s">
        <v>52</v>
      </c>
      <c r="H606" t="s">
        <v>52</v>
      </c>
      <c r="I606" t="s">
        <v>52</v>
      </c>
      <c r="J606" t="s">
        <v>590</v>
      </c>
      <c r="K606" t="s">
        <v>52</v>
      </c>
      <c r="L606" t="s">
        <v>659</v>
      </c>
      <c r="M606" t="s">
        <v>654</v>
      </c>
      <c r="N606" t="s">
        <v>163</v>
      </c>
      <c r="O606" t="s">
        <v>139</v>
      </c>
      <c r="P606" t="s">
        <v>139</v>
      </c>
      <c r="Q606" t="s">
        <v>51</v>
      </c>
      <c r="R606" t="s">
        <v>51</v>
      </c>
      <c r="S606" t="s">
        <v>51</v>
      </c>
      <c r="T606" t="s">
        <v>51</v>
      </c>
    </row>
    <row r="607" spans="1:20">
      <c r="A607" t="s">
        <v>622</v>
      </c>
      <c r="B607" t="s">
        <v>97</v>
      </c>
      <c r="C607" t="s">
        <v>49</v>
      </c>
      <c r="D607" t="s">
        <v>51</v>
      </c>
      <c r="E607" t="s">
        <v>51</v>
      </c>
      <c r="F607" t="s">
        <v>51</v>
      </c>
      <c r="G607" t="s">
        <v>52</v>
      </c>
      <c r="H607" t="s">
        <v>52</v>
      </c>
      <c r="I607" t="s">
        <v>52</v>
      </c>
      <c r="J607" t="s">
        <v>590</v>
      </c>
      <c r="K607" t="s">
        <v>52</v>
      </c>
      <c r="L607" t="s">
        <v>659</v>
      </c>
      <c r="M607" t="s">
        <v>654</v>
      </c>
      <c r="N607" t="s">
        <v>163</v>
      </c>
      <c r="O607" t="s">
        <v>139</v>
      </c>
      <c r="P607" t="s">
        <v>139</v>
      </c>
      <c r="Q607" t="s">
        <v>51</v>
      </c>
      <c r="R607" t="s">
        <v>51</v>
      </c>
      <c r="S607" t="s">
        <v>51</v>
      </c>
      <c r="T607" t="s">
        <v>51</v>
      </c>
    </row>
    <row r="608" spans="1:20">
      <c r="A608" t="s">
        <v>623</v>
      </c>
      <c r="B608" t="s">
        <v>99</v>
      </c>
      <c r="C608" t="s">
        <v>49</v>
      </c>
      <c r="D608" t="s">
        <v>51</v>
      </c>
      <c r="E608" t="s">
        <v>51</v>
      </c>
      <c r="F608" t="s">
        <v>51</v>
      </c>
      <c r="G608" t="s">
        <v>52</v>
      </c>
      <c r="H608" t="s">
        <v>52</v>
      </c>
      <c r="I608" t="s">
        <v>52</v>
      </c>
      <c r="J608" t="s">
        <v>590</v>
      </c>
      <c r="K608" t="s">
        <v>52</v>
      </c>
      <c r="L608" t="s">
        <v>659</v>
      </c>
      <c r="M608" t="s">
        <v>654</v>
      </c>
      <c r="N608" t="s">
        <v>163</v>
      </c>
      <c r="O608" t="s">
        <v>139</v>
      </c>
      <c r="P608" t="s">
        <v>139</v>
      </c>
      <c r="Q608" t="s">
        <v>51</v>
      </c>
      <c r="R608" t="s">
        <v>51</v>
      </c>
      <c r="S608" t="s">
        <v>51</v>
      </c>
      <c r="T608" t="s">
        <v>51</v>
      </c>
    </row>
    <row r="609" spans="1:20">
      <c r="A609" t="s">
        <v>624</v>
      </c>
      <c r="B609" t="s">
        <v>101</v>
      </c>
      <c r="C609" t="s">
        <v>49</v>
      </c>
      <c r="D609" t="s">
        <v>51</v>
      </c>
      <c r="E609" t="s">
        <v>51</v>
      </c>
      <c r="F609" t="s">
        <v>51</v>
      </c>
      <c r="G609" t="s">
        <v>52</v>
      </c>
      <c r="H609" t="s">
        <v>52</v>
      </c>
      <c r="I609" t="s">
        <v>52</v>
      </c>
      <c r="J609" t="s">
        <v>590</v>
      </c>
      <c r="K609" t="s">
        <v>52</v>
      </c>
      <c r="L609" t="s">
        <v>659</v>
      </c>
      <c r="M609" t="s">
        <v>654</v>
      </c>
      <c r="N609" t="s">
        <v>163</v>
      </c>
      <c r="O609" t="s">
        <v>139</v>
      </c>
      <c r="P609" t="s">
        <v>139</v>
      </c>
      <c r="Q609" t="s">
        <v>51</v>
      </c>
      <c r="R609" t="s">
        <v>51</v>
      </c>
      <c r="S609" t="s">
        <v>51</v>
      </c>
      <c r="T609" t="s">
        <v>51</v>
      </c>
    </row>
    <row r="610" spans="1:20">
      <c r="A610" t="s">
        <v>625</v>
      </c>
      <c r="B610" t="s">
        <v>103</v>
      </c>
      <c r="C610" t="s">
        <v>49</v>
      </c>
      <c r="D610" t="s">
        <v>51</v>
      </c>
      <c r="E610" t="s">
        <v>51</v>
      </c>
      <c r="F610" t="s">
        <v>51</v>
      </c>
      <c r="G610" t="s">
        <v>52</v>
      </c>
      <c r="H610" t="s">
        <v>52</v>
      </c>
      <c r="I610" t="s">
        <v>52</v>
      </c>
      <c r="J610" t="s">
        <v>590</v>
      </c>
      <c r="K610" t="s">
        <v>52</v>
      </c>
      <c r="L610" t="s">
        <v>659</v>
      </c>
      <c r="M610" t="s">
        <v>654</v>
      </c>
      <c r="N610" t="s">
        <v>163</v>
      </c>
      <c r="O610" t="s">
        <v>139</v>
      </c>
      <c r="P610" t="s">
        <v>139</v>
      </c>
      <c r="Q610" t="s">
        <v>51</v>
      </c>
      <c r="R610" t="s">
        <v>51</v>
      </c>
      <c r="S610" t="s">
        <v>51</v>
      </c>
      <c r="T610" t="s">
        <v>51</v>
      </c>
    </row>
    <row r="611" spans="1:20">
      <c r="A611" t="s">
        <v>626</v>
      </c>
      <c r="B611" t="s">
        <v>105</v>
      </c>
      <c r="C611" t="s">
        <v>49</v>
      </c>
      <c r="D611" t="s">
        <v>51</v>
      </c>
      <c r="E611" t="s">
        <v>51</v>
      </c>
      <c r="F611" t="s">
        <v>51</v>
      </c>
      <c r="G611" t="s">
        <v>52</v>
      </c>
      <c r="H611" t="s">
        <v>52</v>
      </c>
      <c r="I611" t="s">
        <v>52</v>
      </c>
      <c r="J611" t="s">
        <v>590</v>
      </c>
      <c r="K611" t="s">
        <v>52</v>
      </c>
      <c r="L611" t="s">
        <v>659</v>
      </c>
      <c r="M611" t="s">
        <v>654</v>
      </c>
      <c r="N611" t="s">
        <v>163</v>
      </c>
      <c r="O611" t="s">
        <v>139</v>
      </c>
      <c r="P611" t="s">
        <v>139</v>
      </c>
      <c r="Q611" t="s">
        <v>51</v>
      </c>
      <c r="R611" t="s">
        <v>51</v>
      </c>
      <c r="S611" t="s">
        <v>51</v>
      </c>
      <c r="T611" t="s">
        <v>51</v>
      </c>
    </row>
    <row r="612" spans="1:20">
      <c r="A612" t="s">
        <v>627</v>
      </c>
      <c r="B612" t="s">
        <v>107</v>
      </c>
      <c r="C612" t="s">
        <v>49</v>
      </c>
      <c r="D612" t="s">
        <v>51</v>
      </c>
      <c r="E612" t="s">
        <v>51</v>
      </c>
      <c r="F612" t="s">
        <v>51</v>
      </c>
      <c r="G612" t="s">
        <v>52</v>
      </c>
      <c r="H612" t="s">
        <v>52</v>
      </c>
      <c r="I612" t="s">
        <v>52</v>
      </c>
      <c r="J612" t="s">
        <v>590</v>
      </c>
      <c r="K612" t="s">
        <v>52</v>
      </c>
      <c r="L612" t="s">
        <v>659</v>
      </c>
      <c r="M612" t="s">
        <v>654</v>
      </c>
      <c r="N612" t="s">
        <v>163</v>
      </c>
      <c r="O612" t="s">
        <v>139</v>
      </c>
      <c r="P612" t="s">
        <v>139</v>
      </c>
      <c r="Q612" t="s">
        <v>51</v>
      </c>
      <c r="R612" t="s">
        <v>51</v>
      </c>
      <c r="S612" t="s">
        <v>51</v>
      </c>
      <c r="T612" t="s">
        <v>51</v>
      </c>
    </row>
    <row r="613" spans="1:20">
      <c r="A613" t="s">
        <v>628</v>
      </c>
      <c r="B613" t="s">
        <v>109</v>
      </c>
      <c r="C613" t="s">
        <v>49</v>
      </c>
      <c r="D613" t="s">
        <v>51</v>
      </c>
      <c r="E613" t="s">
        <v>51</v>
      </c>
      <c r="F613" t="s">
        <v>51</v>
      </c>
      <c r="G613" t="s">
        <v>52</v>
      </c>
      <c r="H613" t="s">
        <v>52</v>
      </c>
      <c r="I613" t="s">
        <v>52</v>
      </c>
      <c r="J613" t="s">
        <v>590</v>
      </c>
      <c r="K613" t="s">
        <v>52</v>
      </c>
      <c r="L613" t="s">
        <v>659</v>
      </c>
      <c r="M613" t="s">
        <v>654</v>
      </c>
      <c r="N613" t="s">
        <v>163</v>
      </c>
      <c r="O613" t="s">
        <v>139</v>
      </c>
      <c r="P613" t="s">
        <v>139</v>
      </c>
      <c r="Q613" t="s">
        <v>51</v>
      </c>
      <c r="R613" t="s">
        <v>51</v>
      </c>
      <c r="S613" t="s">
        <v>51</v>
      </c>
      <c r="T613" t="s">
        <v>51</v>
      </c>
    </row>
    <row r="614" spans="1:20">
      <c r="A614" t="s">
        <v>629</v>
      </c>
      <c r="B614" t="s">
        <v>111</v>
      </c>
      <c r="C614" t="s">
        <v>49</v>
      </c>
      <c r="D614" t="s">
        <v>51</v>
      </c>
      <c r="E614" t="s">
        <v>51</v>
      </c>
      <c r="F614" t="s">
        <v>51</v>
      </c>
      <c r="G614" t="s">
        <v>52</v>
      </c>
      <c r="H614" t="s">
        <v>52</v>
      </c>
      <c r="I614" t="s">
        <v>52</v>
      </c>
      <c r="J614" t="s">
        <v>590</v>
      </c>
      <c r="K614" t="s">
        <v>52</v>
      </c>
      <c r="L614" t="s">
        <v>659</v>
      </c>
      <c r="M614" t="s">
        <v>654</v>
      </c>
      <c r="N614" t="s">
        <v>163</v>
      </c>
      <c r="O614" t="s">
        <v>139</v>
      </c>
      <c r="P614" t="s">
        <v>139</v>
      </c>
      <c r="Q614" t="s">
        <v>51</v>
      </c>
      <c r="R614" t="s">
        <v>51</v>
      </c>
      <c r="S614" t="s">
        <v>51</v>
      </c>
      <c r="T614" t="s">
        <v>51</v>
      </c>
    </row>
    <row r="615" spans="1:20">
      <c r="A615" t="s">
        <v>630</v>
      </c>
      <c r="B615" t="s">
        <v>113</v>
      </c>
      <c r="C615" t="s">
        <v>49</v>
      </c>
      <c r="D615" t="s">
        <v>51</v>
      </c>
      <c r="E615" t="s">
        <v>51</v>
      </c>
      <c r="F615" t="s">
        <v>51</v>
      </c>
      <c r="G615" t="s">
        <v>52</v>
      </c>
      <c r="H615" t="s">
        <v>52</v>
      </c>
      <c r="I615" t="s">
        <v>52</v>
      </c>
      <c r="J615" t="s">
        <v>590</v>
      </c>
      <c r="K615" t="s">
        <v>52</v>
      </c>
      <c r="L615" t="s">
        <v>659</v>
      </c>
      <c r="M615" t="s">
        <v>654</v>
      </c>
      <c r="N615" t="s">
        <v>163</v>
      </c>
      <c r="O615" t="s">
        <v>139</v>
      </c>
      <c r="P615" t="s">
        <v>139</v>
      </c>
      <c r="Q615" t="s">
        <v>51</v>
      </c>
      <c r="R615" t="s">
        <v>51</v>
      </c>
      <c r="S615" t="s">
        <v>51</v>
      </c>
      <c r="T615" t="s">
        <v>51</v>
      </c>
    </row>
    <row r="616" spans="1:20">
      <c r="A616" t="s">
        <v>631</v>
      </c>
      <c r="B616" t="s">
        <v>115</v>
      </c>
      <c r="C616" t="s">
        <v>49</v>
      </c>
      <c r="D616" t="s">
        <v>51</v>
      </c>
      <c r="E616" t="s">
        <v>51</v>
      </c>
      <c r="F616" t="s">
        <v>51</v>
      </c>
      <c r="G616" t="s">
        <v>52</v>
      </c>
      <c r="H616" t="s">
        <v>52</v>
      </c>
      <c r="I616" t="s">
        <v>52</v>
      </c>
      <c r="J616" t="s">
        <v>590</v>
      </c>
      <c r="K616" t="s">
        <v>52</v>
      </c>
      <c r="L616" t="s">
        <v>659</v>
      </c>
      <c r="M616" t="s">
        <v>654</v>
      </c>
      <c r="N616" t="s">
        <v>163</v>
      </c>
      <c r="O616" t="s">
        <v>139</v>
      </c>
      <c r="P616" t="s">
        <v>139</v>
      </c>
      <c r="Q616" t="s">
        <v>51</v>
      </c>
      <c r="R616" t="s">
        <v>51</v>
      </c>
      <c r="S616" t="s">
        <v>51</v>
      </c>
      <c r="T616" t="s">
        <v>51</v>
      </c>
    </row>
    <row r="617" spans="1:20">
      <c r="A617" t="s">
        <v>632</v>
      </c>
      <c r="B617" t="s">
        <v>117</v>
      </c>
      <c r="C617" t="s">
        <v>49</v>
      </c>
      <c r="D617" t="s">
        <v>51</v>
      </c>
      <c r="E617" t="s">
        <v>51</v>
      </c>
      <c r="F617" t="s">
        <v>51</v>
      </c>
      <c r="G617" t="s">
        <v>52</v>
      </c>
      <c r="H617" t="s">
        <v>52</v>
      </c>
      <c r="I617" t="s">
        <v>52</v>
      </c>
      <c r="J617" t="s">
        <v>590</v>
      </c>
      <c r="K617" t="s">
        <v>52</v>
      </c>
      <c r="L617" t="s">
        <v>659</v>
      </c>
      <c r="M617" t="s">
        <v>654</v>
      </c>
      <c r="N617" t="s">
        <v>163</v>
      </c>
      <c r="O617" t="s">
        <v>139</v>
      </c>
      <c r="P617" t="s">
        <v>139</v>
      </c>
      <c r="Q617" t="s">
        <v>51</v>
      </c>
      <c r="R617" t="s">
        <v>51</v>
      </c>
      <c r="S617" t="s">
        <v>51</v>
      </c>
      <c r="T617" t="s">
        <v>51</v>
      </c>
    </row>
    <row r="618" spans="1:20">
      <c r="A618" t="s">
        <v>633</v>
      </c>
      <c r="B618" t="s">
        <v>119</v>
      </c>
      <c r="C618" t="s">
        <v>49</v>
      </c>
      <c r="D618" t="s">
        <v>51</v>
      </c>
      <c r="E618" t="s">
        <v>51</v>
      </c>
      <c r="F618" t="s">
        <v>51</v>
      </c>
      <c r="G618" t="s">
        <v>52</v>
      </c>
      <c r="H618" t="s">
        <v>52</v>
      </c>
      <c r="I618" t="s">
        <v>52</v>
      </c>
      <c r="J618" t="s">
        <v>590</v>
      </c>
      <c r="K618" t="s">
        <v>52</v>
      </c>
      <c r="L618" t="s">
        <v>659</v>
      </c>
      <c r="M618" t="s">
        <v>654</v>
      </c>
      <c r="N618" t="s">
        <v>163</v>
      </c>
      <c r="O618" t="s">
        <v>139</v>
      </c>
      <c r="P618" t="s">
        <v>139</v>
      </c>
      <c r="Q618" t="s">
        <v>51</v>
      </c>
      <c r="R618" t="s">
        <v>51</v>
      </c>
      <c r="S618" t="s">
        <v>51</v>
      </c>
      <c r="T618" t="s">
        <v>51</v>
      </c>
    </row>
    <row r="619" spans="1:20">
      <c r="A619" t="s">
        <v>634</v>
      </c>
      <c r="B619" t="s">
        <v>121</v>
      </c>
      <c r="C619" t="s">
        <v>49</v>
      </c>
      <c r="D619" t="s">
        <v>51</v>
      </c>
      <c r="E619" t="s">
        <v>51</v>
      </c>
      <c r="F619" t="s">
        <v>51</v>
      </c>
      <c r="G619" t="s">
        <v>52</v>
      </c>
      <c r="H619" t="s">
        <v>52</v>
      </c>
      <c r="I619" t="s">
        <v>52</v>
      </c>
      <c r="J619" t="s">
        <v>590</v>
      </c>
      <c r="K619" t="s">
        <v>52</v>
      </c>
      <c r="L619" t="s">
        <v>659</v>
      </c>
      <c r="M619" t="s">
        <v>654</v>
      </c>
      <c r="N619" t="s">
        <v>163</v>
      </c>
      <c r="O619" t="s">
        <v>139</v>
      </c>
      <c r="P619" t="s">
        <v>139</v>
      </c>
      <c r="Q619" t="s">
        <v>51</v>
      </c>
      <c r="R619" t="s">
        <v>51</v>
      </c>
      <c r="S619" t="s">
        <v>51</v>
      </c>
      <c r="T619" t="s">
        <v>51</v>
      </c>
    </row>
    <row r="620" spans="1:20">
      <c r="A620" t="s">
        <v>635</v>
      </c>
      <c r="B620" t="s">
        <v>123</v>
      </c>
      <c r="C620" t="s">
        <v>49</v>
      </c>
      <c r="D620" t="s">
        <v>51</v>
      </c>
      <c r="E620" t="s">
        <v>51</v>
      </c>
      <c r="F620" t="s">
        <v>51</v>
      </c>
      <c r="G620" t="s">
        <v>52</v>
      </c>
      <c r="H620" t="s">
        <v>52</v>
      </c>
      <c r="I620" t="s">
        <v>52</v>
      </c>
      <c r="J620" t="s">
        <v>590</v>
      </c>
      <c r="K620" t="s">
        <v>52</v>
      </c>
      <c r="L620" t="s">
        <v>659</v>
      </c>
      <c r="M620" t="s">
        <v>654</v>
      </c>
      <c r="N620" t="s">
        <v>163</v>
      </c>
      <c r="O620" t="s">
        <v>139</v>
      </c>
      <c r="P620" t="s">
        <v>139</v>
      </c>
      <c r="Q620" t="s">
        <v>51</v>
      </c>
      <c r="R620" t="s">
        <v>51</v>
      </c>
      <c r="S620" t="s">
        <v>51</v>
      </c>
      <c r="T620" t="s">
        <v>51</v>
      </c>
    </row>
    <row r="621" spans="1:20">
      <c r="A621" t="s">
        <v>636</v>
      </c>
      <c r="B621" t="s">
        <v>125</v>
      </c>
      <c r="C621" t="s">
        <v>49</v>
      </c>
      <c r="D621" t="s">
        <v>51</v>
      </c>
      <c r="E621" t="s">
        <v>51</v>
      </c>
      <c r="F621" t="s">
        <v>51</v>
      </c>
      <c r="G621" t="s">
        <v>52</v>
      </c>
      <c r="H621" t="s">
        <v>52</v>
      </c>
      <c r="I621" t="s">
        <v>52</v>
      </c>
      <c r="J621" t="s">
        <v>590</v>
      </c>
      <c r="K621" t="s">
        <v>52</v>
      </c>
      <c r="L621" t="s">
        <v>659</v>
      </c>
      <c r="M621" t="s">
        <v>654</v>
      </c>
      <c r="N621" t="s">
        <v>163</v>
      </c>
      <c r="O621" t="s">
        <v>139</v>
      </c>
      <c r="P621" t="s">
        <v>139</v>
      </c>
      <c r="Q621" t="s">
        <v>51</v>
      </c>
      <c r="R621" t="s">
        <v>51</v>
      </c>
      <c r="S621" t="s">
        <v>51</v>
      </c>
      <c r="T621" t="s">
        <v>51</v>
      </c>
    </row>
    <row r="622" spans="1:20">
      <c r="A622" t="s">
        <v>637</v>
      </c>
      <c r="B622" t="s">
        <v>127</v>
      </c>
      <c r="C622" t="s">
        <v>49</v>
      </c>
      <c r="D622" t="s">
        <v>51</v>
      </c>
      <c r="E622" t="s">
        <v>51</v>
      </c>
      <c r="F622" t="s">
        <v>51</v>
      </c>
      <c r="G622" t="s">
        <v>52</v>
      </c>
      <c r="H622" t="s">
        <v>52</v>
      </c>
      <c r="I622" t="s">
        <v>52</v>
      </c>
      <c r="J622" t="s">
        <v>590</v>
      </c>
      <c r="K622" t="s">
        <v>52</v>
      </c>
      <c r="L622" t="s">
        <v>659</v>
      </c>
      <c r="M622" t="s">
        <v>654</v>
      </c>
      <c r="N622" t="s">
        <v>163</v>
      </c>
      <c r="O622" t="s">
        <v>139</v>
      </c>
      <c r="P622" t="s">
        <v>139</v>
      </c>
      <c r="Q622" t="s">
        <v>51</v>
      </c>
      <c r="R622" t="s">
        <v>51</v>
      </c>
      <c r="S622" t="s">
        <v>51</v>
      </c>
      <c r="T622" t="s">
        <v>51</v>
      </c>
    </row>
    <row r="623" spans="1:20">
      <c r="A623" t="s">
        <v>638</v>
      </c>
      <c r="B623" t="s">
        <v>129</v>
      </c>
      <c r="C623" t="s">
        <v>49</v>
      </c>
      <c r="D623" t="s">
        <v>51</v>
      </c>
      <c r="E623" t="s">
        <v>51</v>
      </c>
      <c r="F623" t="s">
        <v>51</v>
      </c>
      <c r="G623" t="s">
        <v>52</v>
      </c>
      <c r="H623" t="s">
        <v>52</v>
      </c>
      <c r="I623" t="s">
        <v>52</v>
      </c>
      <c r="J623" t="s">
        <v>590</v>
      </c>
      <c r="K623" t="s">
        <v>52</v>
      </c>
      <c r="L623" t="s">
        <v>659</v>
      </c>
      <c r="M623" t="s">
        <v>654</v>
      </c>
      <c r="N623" t="s">
        <v>163</v>
      </c>
      <c r="O623" t="s">
        <v>139</v>
      </c>
      <c r="P623" t="s">
        <v>139</v>
      </c>
      <c r="Q623" t="s">
        <v>51</v>
      </c>
      <c r="R623" t="s">
        <v>51</v>
      </c>
      <c r="S623" t="s">
        <v>51</v>
      </c>
      <c r="T623" t="s">
        <v>51</v>
      </c>
    </row>
    <row r="624" spans="1:20">
      <c r="A624" t="s">
        <v>639</v>
      </c>
      <c r="B624" t="s">
        <v>131</v>
      </c>
      <c r="C624" t="s">
        <v>49</v>
      </c>
      <c r="D624" t="s">
        <v>51</v>
      </c>
      <c r="E624" t="s">
        <v>51</v>
      </c>
      <c r="F624" t="s">
        <v>51</v>
      </c>
      <c r="G624" t="s">
        <v>52</v>
      </c>
      <c r="H624" t="s">
        <v>52</v>
      </c>
      <c r="I624" t="s">
        <v>52</v>
      </c>
      <c r="J624" t="s">
        <v>590</v>
      </c>
      <c r="K624" t="s">
        <v>52</v>
      </c>
      <c r="L624" t="s">
        <v>659</v>
      </c>
      <c r="M624" t="s">
        <v>654</v>
      </c>
      <c r="N624" t="s">
        <v>163</v>
      </c>
      <c r="O624" t="s">
        <v>139</v>
      </c>
      <c r="P624" t="s">
        <v>139</v>
      </c>
      <c r="Q624" t="s">
        <v>51</v>
      </c>
      <c r="R624" t="s">
        <v>51</v>
      </c>
      <c r="S624" t="s">
        <v>51</v>
      </c>
      <c r="T624" t="s">
        <v>51</v>
      </c>
    </row>
    <row r="625" spans="1:20">
      <c r="A625" t="s">
        <v>640</v>
      </c>
      <c r="B625" t="s">
        <v>133</v>
      </c>
      <c r="C625" t="s">
        <v>49</v>
      </c>
      <c r="D625" t="s">
        <v>51</v>
      </c>
      <c r="E625" t="s">
        <v>51</v>
      </c>
      <c r="F625" t="s">
        <v>51</v>
      </c>
      <c r="G625" t="s">
        <v>52</v>
      </c>
      <c r="H625" t="s">
        <v>52</v>
      </c>
      <c r="I625" t="s">
        <v>52</v>
      </c>
      <c r="J625" t="s">
        <v>590</v>
      </c>
      <c r="K625" t="s">
        <v>52</v>
      </c>
      <c r="L625" t="s">
        <v>659</v>
      </c>
      <c r="M625" t="s">
        <v>654</v>
      </c>
      <c r="N625" t="s">
        <v>163</v>
      </c>
      <c r="O625" t="s">
        <v>139</v>
      </c>
      <c r="P625" t="s">
        <v>139</v>
      </c>
      <c r="Q625" t="s">
        <v>51</v>
      </c>
      <c r="R625" t="s">
        <v>51</v>
      </c>
      <c r="S625" t="s">
        <v>51</v>
      </c>
      <c r="T625" t="s">
        <v>51</v>
      </c>
    </row>
    <row r="626" spans="1:20">
      <c r="A626" t="s">
        <v>641</v>
      </c>
      <c r="B626" t="s">
        <v>135</v>
      </c>
      <c r="C626" t="s">
        <v>49</v>
      </c>
      <c r="D626" t="s">
        <v>51</v>
      </c>
      <c r="E626" t="s">
        <v>51</v>
      </c>
      <c r="F626" t="s">
        <v>51</v>
      </c>
      <c r="G626" t="s">
        <v>52</v>
      </c>
      <c r="H626" t="s">
        <v>52</v>
      </c>
      <c r="I626" t="s">
        <v>52</v>
      </c>
      <c r="J626" t="s">
        <v>590</v>
      </c>
      <c r="K626" t="s">
        <v>52</v>
      </c>
      <c r="L626" t="s">
        <v>659</v>
      </c>
      <c r="M626" t="s">
        <v>654</v>
      </c>
      <c r="N626" t="s">
        <v>163</v>
      </c>
      <c r="O626" t="s">
        <v>139</v>
      </c>
      <c r="P626" t="s">
        <v>139</v>
      </c>
      <c r="Q626" t="s">
        <v>51</v>
      </c>
      <c r="R626" t="s">
        <v>51</v>
      </c>
      <c r="S626" t="s">
        <v>51</v>
      </c>
      <c r="T626" t="s">
        <v>51</v>
      </c>
    </row>
    <row r="627" spans="1:20">
      <c r="A627" t="s">
        <v>642</v>
      </c>
      <c r="B627" t="s">
        <v>137</v>
      </c>
      <c r="C627" t="s">
        <v>49</v>
      </c>
      <c r="D627" t="s">
        <v>51</v>
      </c>
      <c r="E627" t="s">
        <v>51</v>
      </c>
      <c r="F627" t="s">
        <v>51</v>
      </c>
      <c r="G627" t="s">
        <v>52</v>
      </c>
      <c r="H627" t="s">
        <v>52</v>
      </c>
      <c r="I627" t="s">
        <v>52</v>
      </c>
      <c r="J627" t="s">
        <v>590</v>
      </c>
      <c r="K627" t="s">
        <v>52</v>
      </c>
      <c r="L627" t="s">
        <v>659</v>
      </c>
      <c r="M627" t="s">
        <v>654</v>
      </c>
      <c r="N627" t="s">
        <v>163</v>
      </c>
      <c r="O627" t="s">
        <v>139</v>
      </c>
      <c r="P627" t="s">
        <v>139</v>
      </c>
      <c r="Q627" t="s">
        <v>51</v>
      </c>
      <c r="R627" t="s">
        <v>51</v>
      </c>
      <c r="S627" t="s">
        <v>51</v>
      </c>
      <c r="T627" t="s">
        <v>51</v>
      </c>
    </row>
    <row r="628" spans="1:20">
      <c r="A628" t="s">
        <v>643</v>
      </c>
      <c r="B628" t="s">
        <v>139</v>
      </c>
      <c r="C628" t="s">
        <v>49</v>
      </c>
      <c r="D628" t="s">
        <v>51</v>
      </c>
      <c r="E628" t="s">
        <v>51</v>
      </c>
      <c r="F628" t="s">
        <v>51</v>
      </c>
      <c r="G628" t="s">
        <v>52</v>
      </c>
      <c r="H628" t="s">
        <v>52</v>
      </c>
      <c r="I628" t="s">
        <v>52</v>
      </c>
      <c r="J628" t="s">
        <v>590</v>
      </c>
      <c r="K628" t="s">
        <v>52</v>
      </c>
      <c r="L628" t="s">
        <v>659</v>
      </c>
      <c r="M628" t="s">
        <v>654</v>
      </c>
      <c r="N628" t="s">
        <v>163</v>
      </c>
      <c r="O628" t="s">
        <v>139</v>
      </c>
      <c r="P628" t="s">
        <v>139</v>
      </c>
      <c r="Q628" t="s">
        <v>51</v>
      </c>
      <c r="R628" t="s">
        <v>51</v>
      </c>
      <c r="S628" t="s">
        <v>51</v>
      </c>
      <c r="T628" t="s">
        <v>51</v>
      </c>
    </row>
    <row r="629" spans="1:20">
      <c r="A629" t="s">
        <v>644</v>
      </c>
      <c r="B629" t="s">
        <v>141</v>
      </c>
      <c r="C629" t="s">
        <v>49</v>
      </c>
      <c r="D629" t="s">
        <v>51</v>
      </c>
      <c r="E629" t="s">
        <v>51</v>
      </c>
      <c r="F629" t="s">
        <v>51</v>
      </c>
      <c r="G629" t="s">
        <v>52</v>
      </c>
      <c r="H629" t="s">
        <v>52</v>
      </c>
      <c r="I629" t="s">
        <v>52</v>
      </c>
      <c r="J629" t="s">
        <v>590</v>
      </c>
      <c r="K629" t="s">
        <v>52</v>
      </c>
      <c r="L629" t="s">
        <v>659</v>
      </c>
      <c r="M629" t="s">
        <v>654</v>
      </c>
      <c r="N629" t="s">
        <v>163</v>
      </c>
      <c r="O629" t="s">
        <v>139</v>
      </c>
      <c r="P629" t="s">
        <v>139</v>
      </c>
      <c r="Q629" t="s">
        <v>51</v>
      </c>
      <c r="R629" t="s">
        <v>51</v>
      </c>
      <c r="S629" t="s">
        <v>51</v>
      </c>
      <c r="T629" t="s">
        <v>51</v>
      </c>
    </row>
    <row r="630" spans="1:20">
      <c r="A630" t="s">
        <v>645</v>
      </c>
      <c r="B630" t="s">
        <v>143</v>
      </c>
      <c r="C630" t="s">
        <v>49</v>
      </c>
      <c r="D630" t="s">
        <v>51</v>
      </c>
      <c r="E630" t="s">
        <v>51</v>
      </c>
      <c r="F630" t="s">
        <v>51</v>
      </c>
      <c r="G630" t="s">
        <v>52</v>
      </c>
      <c r="H630" t="s">
        <v>52</v>
      </c>
      <c r="I630" t="s">
        <v>52</v>
      </c>
      <c r="J630" t="s">
        <v>590</v>
      </c>
      <c r="K630" t="s">
        <v>52</v>
      </c>
      <c r="L630" t="s">
        <v>659</v>
      </c>
      <c r="M630" t="s">
        <v>654</v>
      </c>
      <c r="N630" t="s">
        <v>163</v>
      </c>
      <c r="O630" t="s">
        <v>139</v>
      </c>
      <c r="P630" t="s">
        <v>139</v>
      </c>
      <c r="Q630" t="s">
        <v>51</v>
      </c>
      <c r="R630" t="s">
        <v>51</v>
      </c>
      <c r="S630" t="s">
        <v>51</v>
      </c>
      <c r="T630" t="s">
        <v>51</v>
      </c>
    </row>
    <row r="631" spans="1:20">
      <c r="A631" t="s">
        <v>646</v>
      </c>
      <c r="B631" t="s">
        <v>145</v>
      </c>
      <c r="C631" t="s">
        <v>49</v>
      </c>
      <c r="D631" t="s">
        <v>51</v>
      </c>
      <c r="E631" t="s">
        <v>51</v>
      </c>
      <c r="F631" t="s">
        <v>51</v>
      </c>
      <c r="G631" t="s">
        <v>52</v>
      </c>
      <c r="H631" t="s">
        <v>52</v>
      </c>
      <c r="I631" t="s">
        <v>52</v>
      </c>
      <c r="J631" t="s">
        <v>590</v>
      </c>
      <c r="K631" t="s">
        <v>52</v>
      </c>
      <c r="L631" t="s">
        <v>659</v>
      </c>
      <c r="M631" t="s">
        <v>654</v>
      </c>
      <c r="N631" t="s">
        <v>163</v>
      </c>
      <c r="O631" t="s">
        <v>139</v>
      </c>
      <c r="P631" t="s">
        <v>139</v>
      </c>
      <c r="Q631" t="s">
        <v>51</v>
      </c>
      <c r="R631" t="s">
        <v>51</v>
      </c>
      <c r="S631" t="s">
        <v>51</v>
      </c>
      <c r="T631" t="s">
        <v>51</v>
      </c>
    </row>
    <row r="632" spans="1:20">
      <c r="A632" t="s">
        <v>647</v>
      </c>
      <c r="B632" t="s">
        <v>147</v>
      </c>
      <c r="C632" t="s">
        <v>49</v>
      </c>
      <c r="D632" t="s">
        <v>51</v>
      </c>
      <c r="E632" t="s">
        <v>51</v>
      </c>
      <c r="F632" t="s">
        <v>51</v>
      </c>
      <c r="G632" t="s">
        <v>52</v>
      </c>
      <c r="H632" t="s">
        <v>52</v>
      </c>
      <c r="I632" t="s">
        <v>52</v>
      </c>
      <c r="J632" t="s">
        <v>590</v>
      </c>
      <c r="K632" t="s">
        <v>52</v>
      </c>
      <c r="L632" t="s">
        <v>659</v>
      </c>
      <c r="M632" t="s">
        <v>654</v>
      </c>
      <c r="N632" t="s">
        <v>163</v>
      </c>
      <c r="O632" t="s">
        <v>139</v>
      </c>
      <c r="P632" t="s">
        <v>139</v>
      </c>
      <c r="Q632" t="s">
        <v>51</v>
      </c>
      <c r="R632" t="s">
        <v>51</v>
      </c>
      <c r="S632" t="s">
        <v>51</v>
      </c>
      <c r="T632" t="s">
        <v>51</v>
      </c>
    </row>
    <row r="633" spans="1:20">
      <c r="A633" t="s">
        <v>648</v>
      </c>
      <c r="B633" t="s">
        <v>149</v>
      </c>
      <c r="C633" t="s">
        <v>49</v>
      </c>
      <c r="D633" t="s">
        <v>51</v>
      </c>
      <c r="E633" t="s">
        <v>51</v>
      </c>
      <c r="F633" t="s">
        <v>51</v>
      </c>
      <c r="G633" t="s">
        <v>52</v>
      </c>
      <c r="H633" t="s">
        <v>52</v>
      </c>
      <c r="I633" t="s">
        <v>52</v>
      </c>
      <c r="J633" t="s">
        <v>590</v>
      </c>
      <c r="K633" t="s">
        <v>52</v>
      </c>
      <c r="L633" t="s">
        <v>659</v>
      </c>
      <c r="M633" t="s">
        <v>654</v>
      </c>
      <c r="N633" t="s">
        <v>163</v>
      </c>
      <c r="O633" t="s">
        <v>139</v>
      </c>
      <c r="P633" t="s">
        <v>139</v>
      </c>
      <c r="Q633" t="s">
        <v>51</v>
      </c>
      <c r="R633" t="s">
        <v>51</v>
      </c>
      <c r="S633" t="s">
        <v>51</v>
      </c>
      <c r="T633" t="s">
        <v>51</v>
      </c>
    </row>
    <row r="634" spans="1:20">
      <c r="A634" t="s">
        <v>649</v>
      </c>
      <c r="B634" t="s">
        <v>151</v>
      </c>
      <c r="C634" t="s">
        <v>49</v>
      </c>
      <c r="D634" t="s">
        <v>51</v>
      </c>
      <c r="E634" t="s">
        <v>51</v>
      </c>
      <c r="F634" t="s">
        <v>51</v>
      </c>
      <c r="G634" t="s">
        <v>52</v>
      </c>
      <c r="H634" t="s">
        <v>52</v>
      </c>
      <c r="I634" t="s">
        <v>52</v>
      </c>
      <c r="J634" t="s">
        <v>590</v>
      </c>
      <c r="K634" t="s">
        <v>52</v>
      </c>
      <c r="L634" t="s">
        <v>659</v>
      </c>
      <c r="M634" t="s">
        <v>654</v>
      </c>
      <c r="N634" t="s">
        <v>163</v>
      </c>
      <c r="O634" t="s">
        <v>139</v>
      </c>
      <c r="P634" t="s">
        <v>139</v>
      </c>
      <c r="Q634" t="s">
        <v>51</v>
      </c>
      <c r="R634" t="s">
        <v>51</v>
      </c>
      <c r="S634" t="s">
        <v>51</v>
      </c>
      <c r="T634" t="s">
        <v>51</v>
      </c>
    </row>
    <row r="635" spans="1:20">
      <c r="A635" t="s">
        <v>650</v>
      </c>
      <c r="B635" t="s">
        <v>153</v>
      </c>
      <c r="C635" t="s">
        <v>49</v>
      </c>
      <c r="D635" t="s">
        <v>51</v>
      </c>
      <c r="E635" t="s">
        <v>51</v>
      </c>
      <c r="F635" t="s">
        <v>51</v>
      </c>
      <c r="G635" t="s">
        <v>52</v>
      </c>
      <c r="H635" t="s">
        <v>52</v>
      </c>
      <c r="I635" t="s">
        <v>52</v>
      </c>
      <c r="J635" t="s">
        <v>590</v>
      </c>
      <c r="K635" t="s">
        <v>52</v>
      </c>
      <c r="L635" t="s">
        <v>659</v>
      </c>
      <c r="M635" t="s">
        <v>654</v>
      </c>
      <c r="N635" t="s">
        <v>163</v>
      </c>
      <c r="O635" t="s">
        <v>139</v>
      </c>
      <c r="P635" t="s">
        <v>139</v>
      </c>
      <c r="Q635" t="s">
        <v>51</v>
      </c>
      <c r="R635" t="s">
        <v>51</v>
      </c>
      <c r="S635" t="s">
        <v>51</v>
      </c>
      <c r="T635" t="s">
        <v>51</v>
      </c>
    </row>
    <row r="636" spans="1:20">
      <c r="A636" t="s">
        <v>588</v>
      </c>
      <c r="B636" t="s">
        <v>589</v>
      </c>
      <c r="C636" t="s">
        <v>165</v>
      </c>
      <c r="D636" t="s">
        <v>50</v>
      </c>
      <c r="E636" t="s">
        <v>51</v>
      </c>
      <c r="F636" t="s">
        <v>51</v>
      </c>
      <c r="G636" t="s">
        <v>52</v>
      </c>
      <c r="H636" t="s">
        <v>52</v>
      </c>
      <c r="I636" t="s">
        <v>52</v>
      </c>
      <c r="J636" t="s">
        <v>52</v>
      </c>
      <c r="K636" t="s">
        <v>52</v>
      </c>
      <c r="L636" t="s">
        <v>660</v>
      </c>
      <c r="M636" t="s">
        <v>654</v>
      </c>
      <c r="N636" t="s">
        <v>163</v>
      </c>
      <c r="O636" t="s">
        <v>141</v>
      </c>
      <c r="P636" t="s">
        <v>141</v>
      </c>
      <c r="Q636" t="s">
        <v>51</v>
      </c>
      <c r="R636" t="s">
        <v>51</v>
      </c>
      <c r="S636" t="s">
        <v>51</v>
      </c>
      <c r="T636" t="s">
        <v>51</v>
      </c>
    </row>
    <row r="637" spans="1:20">
      <c r="A637" t="s">
        <v>607</v>
      </c>
      <c r="B637" t="s">
        <v>67</v>
      </c>
      <c r="C637" t="s">
        <v>49</v>
      </c>
      <c r="D637" t="s">
        <v>51</v>
      </c>
      <c r="E637" t="s">
        <v>51</v>
      </c>
      <c r="F637" t="s">
        <v>51</v>
      </c>
      <c r="G637" t="s">
        <v>52</v>
      </c>
      <c r="H637" t="s">
        <v>52</v>
      </c>
      <c r="I637" t="s">
        <v>52</v>
      </c>
      <c r="J637" t="s">
        <v>590</v>
      </c>
      <c r="K637" t="s">
        <v>52</v>
      </c>
      <c r="L637" t="s">
        <v>660</v>
      </c>
      <c r="M637" t="s">
        <v>654</v>
      </c>
      <c r="N637" t="s">
        <v>163</v>
      </c>
      <c r="O637" t="s">
        <v>141</v>
      </c>
      <c r="P637" t="s">
        <v>141</v>
      </c>
      <c r="Q637" t="s">
        <v>51</v>
      </c>
      <c r="R637" t="s">
        <v>51</v>
      </c>
      <c r="S637" t="s">
        <v>51</v>
      </c>
      <c r="T637" t="s">
        <v>51</v>
      </c>
    </row>
    <row r="638" spans="1:20">
      <c r="A638" t="s">
        <v>608</v>
      </c>
      <c r="B638" t="s">
        <v>69</v>
      </c>
      <c r="C638" t="s">
        <v>49</v>
      </c>
      <c r="D638" t="s">
        <v>51</v>
      </c>
      <c r="E638" t="s">
        <v>51</v>
      </c>
      <c r="F638" t="s">
        <v>51</v>
      </c>
      <c r="G638" t="s">
        <v>52</v>
      </c>
      <c r="H638" t="s">
        <v>52</v>
      </c>
      <c r="I638" t="s">
        <v>52</v>
      </c>
      <c r="J638" t="s">
        <v>590</v>
      </c>
      <c r="K638" t="s">
        <v>52</v>
      </c>
      <c r="L638" t="s">
        <v>660</v>
      </c>
      <c r="M638" t="s">
        <v>654</v>
      </c>
      <c r="N638" t="s">
        <v>163</v>
      </c>
      <c r="O638" t="s">
        <v>141</v>
      </c>
      <c r="P638" t="s">
        <v>141</v>
      </c>
      <c r="Q638" t="s">
        <v>51</v>
      </c>
      <c r="R638" t="s">
        <v>51</v>
      </c>
      <c r="S638" t="s">
        <v>51</v>
      </c>
      <c r="T638" t="s">
        <v>51</v>
      </c>
    </row>
    <row r="639" spans="1:20">
      <c r="A639" t="s">
        <v>609</v>
      </c>
      <c r="B639" t="s">
        <v>71</v>
      </c>
      <c r="C639" t="s">
        <v>49</v>
      </c>
      <c r="D639" t="s">
        <v>51</v>
      </c>
      <c r="E639" t="s">
        <v>51</v>
      </c>
      <c r="F639" t="s">
        <v>51</v>
      </c>
      <c r="G639" t="s">
        <v>52</v>
      </c>
      <c r="H639" t="s">
        <v>52</v>
      </c>
      <c r="I639" t="s">
        <v>52</v>
      </c>
      <c r="J639" t="s">
        <v>590</v>
      </c>
      <c r="K639" t="s">
        <v>52</v>
      </c>
      <c r="L639" t="s">
        <v>660</v>
      </c>
      <c r="M639" t="s">
        <v>654</v>
      </c>
      <c r="N639" t="s">
        <v>163</v>
      </c>
      <c r="O639" t="s">
        <v>141</v>
      </c>
      <c r="P639" t="s">
        <v>141</v>
      </c>
      <c r="Q639" t="s">
        <v>51</v>
      </c>
      <c r="R639" t="s">
        <v>51</v>
      </c>
      <c r="S639" t="s">
        <v>51</v>
      </c>
      <c r="T639" t="s">
        <v>51</v>
      </c>
    </row>
    <row r="640" spans="1:20">
      <c r="A640" t="s">
        <v>610</v>
      </c>
      <c r="B640" t="s">
        <v>73</v>
      </c>
      <c r="C640" t="s">
        <v>49</v>
      </c>
      <c r="D640" t="s">
        <v>51</v>
      </c>
      <c r="E640" t="s">
        <v>51</v>
      </c>
      <c r="F640" t="s">
        <v>51</v>
      </c>
      <c r="G640" t="s">
        <v>52</v>
      </c>
      <c r="H640" t="s">
        <v>52</v>
      </c>
      <c r="I640" t="s">
        <v>52</v>
      </c>
      <c r="J640" t="s">
        <v>590</v>
      </c>
      <c r="K640" t="s">
        <v>52</v>
      </c>
      <c r="L640" t="s">
        <v>660</v>
      </c>
      <c r="M640" t="s">
        <v>654</v>
      </c>
      <c r="N640" t="s">
        <v>163</v>
      </c>
      <c r="O640" t="s">
        <v>141</v>
      </c>
      <c r="P640" t="s">
        <v>141</v>
      </c>
      <c r="Q640" t="s">
        <v>51</v>
      </c>
      <c r="R640" t="s">
        <v>51</v>
      </c>
      <c r="S640" t="s">
        <v>51</v>
      </c>
      <c r="T640" t="s">
        <v>51</v>
      </c>
    </row>
    <row r="641" spans="1:20">
      <c r="A641" t="s">
        <v>611</v>
      </c>
      <c r="B641" t="s">
        <v>75</v>
      </c>
      <c r="C641" t="s">
        <v>49</v>
      </c>
      <c r="D641" t="s">
        <v>51</v>
      </c>
      <c r="E641" t="s">
        <v>51</v>
      </c>
      <c r="F641" t="s">
        <v>51</v>
      </c>
      <c r="G641" t="s">
        <v>52</v>
      </c>
      <c r="H641" t="s">
        <v>52</v>
      </c>
      <c r="I641" t="s">
        <v>52</v>
      </c>
      <c r="J641" t="s">
        <v>590</v>
      </c>
      <c r="K641" t="s">
        <v>52</v>
      </c>
      <c r="L641" t="s">
        <v>660</v>
      </c>
      <c r="M641" t="s">
        <v>654</v>
      </c>
      <c r="N641" t="s">
        <v>163</v>
      </c>
      <c r="O641" t="s">
        <v>141</v>
      </c>
      <c r="P641" t="s">
        <v>141</v>
      </c>
      <c r="Q641" t="s">
        <v>51</v>
      </c>
      <c r="R641" t="s">
        <v>51</v>
      </c>
      <c r="S641" t="s">
        <v>51</v>
      </c>
      <c r="T641" t="s">
        <v>51</v>
      </c>
    </row>
    <row r="642" spans="1:20">
      <c r="A642" t="s">
        <v>612</v>
      </c>
      <c r="B642" t="s">
        <v>77</v>
      </c>
      <c r="C642" t="s">
        <v>49</v>
      </c>
      <c r="D642" t="s">
        <v>51</v>
      </c>
      <c r="E642" t="s">
        <v>51</v>
      </c>
      <c r="F642" t="s">
        <v>51</v>
      </c>
      <c r="G642" t="s">
        <v>52</v>
      </c>
      <c r="H642" t="s">
        <v>52</v>
      </c>
      <c r="I642" t="s">
        <v>52</v>
      </c>
      <c r="J642" t="s">
        <v>590</v>
      </c>
      <c r="K642" t="s">
        <v>52</v>
      </c>
      <c r="L642" t="s">
        <v>660</v>
      </c>
      <c r="M642" t="s">
        <v>654</v>
      </c>
      <c r="N642" t="s">
        <v>163</v>
      </c>
      <c r="O642" t="s">
        <v>141</v>
      </c>
      <c r="P642" t="s">
        <v>141</v>
      </c>
      <c r="Q642" t="s">
        <v>51</v>
      </c>
      <c r="R642" t="s">
        <v>51</v>
      </c>
      <c r="S642" t="s">
        <v>51</v>
      </c>
      <c r="T642" t="s">
        <v>51</v>
      </c>
    </row>
    <row r="643" spans="1:20">
      <c r="A643" t="s">
        <v>613</v>
      </c>
      <c r="B643" t="s">
        <v>79</v>
      </c>
      <c r="C643" t="s">
        <v>49</v>
      </c>
      <c r="D643" t="s">
        <v>51</v>
      </c>
      <c r="E643" t="s">
        <v>51</v>
      </c>
      <c r="F643" t="s">
        <v>51</v>
      </c>
      <c r="G643" t="s">
        <v>52</v>
      </c>
      <c r="H643" t="s">
        <v>52</v>
      </c>
      <c r="I643" t="s">
        <v>52</v>
      </c>
      <c r="J643" t="s">
        <v>590</v>
      </c>
      <c r="K643" t="s">
        <v>52</v>
      </c>
      <c r="L643" t="s">
        <v>660</v>
      </c>
      <c r="M643" t="s">
        <v>654</v>
      </c>
      <c r="N643" t="s">
        <v>163</v>
      </c>
      <c r="O643" t="s">
        <v>141</v>
      </c>
      <c r="P643" t="s">
        <v>141</v>
      </c>
      <c r="Q643" t="s">
        <v>51</v>
      </c>
      <c r="R643" t="s">
        <v>51</v>
      </c>
      <c r="S643" t="s">
        <v>51</v>
      </c>
      <c r="T643" t="s">
        <v>51</v>
      </c>
    </row>
    <row r="644" spans="1:20">
      <c r="A644" t="s">
        <v>614</v>
      </c>
      <c r="B644" t="s">
        <v>81</v>
      </c>
      <c r="C644" t="s">
        <v>49</v>
      </c>
      <c r="D644" t="s">
        <v>51</v>
      </c>
      <c r="E644" t="s">
        <v>51</v>
      </c>
      <c r="F644" t="s">
        <v>51</v>
      </c>
      <c r="G644" t="s">
        <v>52</v>
      </c>
      <c r="H644" t="s">
        <v>52</v>
      </c>
      <c r="I644" t="s">
        <v>52</v>
      </c>
      <c r="J644" t="s">
        <v>590</v>
      </c>
      <c r="K644" t="s">
        <v>52</v>
      </c>
      <c r="L644" t="s">
        <v>660</v>
      </c>
      <c r="M644" t="s">
        <v>654</v>
      </c>
      <c r="N644" t="s">
        <v>163</v>
      </c>
      <c r="O644" t="s">
        <v>141</v>
      </c>
      <c r="P644" t="s">
        <v>141</v>
      </c>
      <c r="Q644" t="s">
        <v>51</v>
      </c>
      <c r="R644" t="s">
        <v>51</v>
      </c>
      <c r="S644" t="s">
        <v>51</v>
      </c>
      <c r="T644" t="s">
        <v>51</v>
      </c>
    </row>
    <row r="645" spans="1:20">
      <c r="A645" t="s">
        <v>615</v>
      </c>
      <c r="B645" t="s">
        <v>83</v>
      </c>
      <c r="C645" t="s">
        <v>49</v>
      </c>
      <c r="D645" t="s">
        <v>51</v>
      </c>
      <c r="E645" t="s">
        <v>51</v>
      </c>
      <c r="F645" t="s">
        <v>51</v>
      </c>
      <c r="G645" t="s">
        <v>52</v>
      </c>
      <c r="H645" t="s">
        <v>52</v>
      </c>
      <c r="I645" t="s">
        <v>52</v>
      </c>
      <c r="J645" t="s">
        <v>590</v>
      </c>
      <c r="K645" t="s">
        <v>52</v>
      </c>
      <c r="L645" t="s">
        <v>660</v>
      </c>
      <c r="M645" t="s">
        <v>654</v>
      </c>
      <c r="N645" t="s">
        <v>163</v>
      </c>
      <c r="O645" t="s">
        <v>141</v>
      </c>
      <c r="P645" t="s">
        <v>141</v>
      </c>
      <c r="Q645" t="s">
        <v>51</v>
      </c>
      <c r="R645" t="s">
        <v>51</v>
      </c>
      <c r="S645" t="s">
        <v>51</v>
      </c>
      <c r="T645" t="s">
        <v>51</v>
      </c>
    </row>
    <row r="646" spans="1:20">
      <c r="A646" t="s">
        <v>616</v>
      </c>
      <c r="B646" t="s">
        <v>85</v>
      </c>
      <c r="C646" t="s">
        <v>49</v>
      </c>
      <c r="D646" t="s">
        <v>51</v>
      </c>
      <c r="E646" t="s">
        <v>51</v>
      </c>
      <c r="F646" t="s">
        <v>51</v>
      </c>
      <c r="G646" t="s">
        <v>52</v>
      </c>
      <c r="H646" t="s">
        <v>52</v>
      </c>
      <c r="I646" t="s">
        <v>52</v>
      </c>
      <c r="J646" t="s">
        <v>590</v>
      </c>
      <c r="K646" t="s">
        <v>52</v>
      </c>
      <c r="L646" t="s">
        <v>660</v>
      </c>
      <c r="M646" t="s">
        <v>654</v>
      </c>
      <c r="N646" t="s">
        <v>163</v>
      </c>
      <c r="O646" t="s">
        <v>141</v>
      </c>
      <c r="P646" t="s">
        <v>141</v>
      </c>
      <c r="Q646" t="s">
        <v>51</v>
      </c>
      <c r="R646" t="s">
        <v>51</v>
      </c>
      <c r="S646" t="s">
        <v>51</v>
      </c>
      <c r="T646" t="s">
        <v>51</v>
      </c>
    </row>
    <row r="647" spans="1:20">
      <c r="A647" t="s">
        <v>617</v>
      </c>
      <c r="B647" t="s">
        <v>87</v>
      </c>
      <c r="C647" t="s">
        <v>49</v>
      </c>
      <c r="D647" t="s">
        <v>51</v>
      </c>
      <c r="E647" t="s">
        <v>51</v>
      </c>
      <c r="F647" t="s">
        <v>51</v>
      </c>
      <c r="G647" t="s">
        <v>52</v>
      </c>
      <c r="H647" t="s">
        <v>52</v>
      </c>
      <c r="I647" t="s">
        <v>52</v>
      </c>
      <c r="J647" t="s">
        <v>590</v>
      </c>
      <c r="K647" t="s">
        <v>52</v>
      </c>
      <c r="L647" t="s">
        <v>660</v>
      </c>
      <c r="M647" t="s">
        <v>654</v>
      </c>
      <c r="N647" t="s">
        <v>163</v>
      </c>
      <c r="O647" t="s">
        <v>141</v>
      </c>
      <c r="P647" t="s">
        <v>141</v>
      </c>
      <c r="Q647" t="s">
        <v>51</v>
      </c>
      <c r="R647" t="s">
        <v>51</v>
      </c>
      <c r="S647" t="s">
        <v>51</v>
      </c>
      <c r="T647" t="s">
        <v>51</v>
      </c>
    </row>
    <row r="648" spans="1:20">
      <c r="A648" t="s">
        <v>618</v>
      </c>
      <c r="B648" t="s">
        <v>89</v>
      </c>
      <c r="C648" t="s">
        <v>49</v>
      </c>
      <c r="D648" t="s">
        <v>51</v>
      </c>
      <c r="E648" t="s">
        <v>51</v>
      </c>
      <c r="F648" t="s">
        <v>51</v>
      </c>
      <c r="G648" t="s">
        <v>52</v>
      </c>
      <c r="H648" t="s">
        <v>52</v>
      </c>
      <c r="I648" t="s">
        <v>52</v>
      </c>
      <c r="J648" t="s">
        <v>590</v>
      </c>
      <c r="K648" t="s">
        <v>52</v>
      </c>
      <c r="L648" t="s">
        <v>660</v>
      </c>
      <c r="M648" t="s">
        <v>654</v>
      </c>
      <c r="N648" t="s">
        <v>163</v>
      </c>
      <c r="O648" t="s">
        <v>141</v>
      </c>
      <c r="P648" t="s">
        <v>141</v>
      </c>
      <c r="Q648" t="s">
        <v>51</v>
      </c>
      <c r="R648" t="s">
        <v>51</v>
      </c>
      <c r="S648" t="s">
        <v>51</v>
      </c>
      <c r="T648" t="s">
        <v>51</v>
      </c>
    </row>
    <row r="649" spans="1:20">
      <c r="A649" t="s">
        <v>619</v>
      </c>
      <c r="B649" t="s">
        <v>91</v>
      </c>
      <c r="C649" t="s">
        <v>49</v>
      </c>
      <c r="D649" t="s">
        <v>51</v>
      </c>
      <c r="E649" t="s">
        <v>51</v>
      </c>
      <c r="F649" t="s">
        <v>51</v>
      </c>
      <c r="G649" t="s">
        <v>52</v>
      </c>
      <c r="H649" t="s">
        <v>52</v>
      </c>
      <c r="I649" t="s">
        <v>52</v>
      </c>
      <c r="J649" t="s">
        <v>590</v>
      </c>
      <c r="K649" t="s">
        <v>52</v>
      </c>
      <c r="L649" t="s">
        <v>660</v>
      </c>
      <c r="M649" t="s">
        <v>654</v>
      </c>
      <c r="N649" t="s">
        <v>163</v>
      </c>
      <c r="O649" t="s">
        <v>141</v>
      </c>
      <c r="P649" t="s">
        <v>141</v>
      </c>
      <c r="Q649" t="s">
        <v>51</v>
      </c>
      <c r="R649" t="s">
        <v>51</v>
      </c>
      <c r="S649" t="s">
        <v>51</v>
      </c>
      <c r="T649" t="s">
        <v>51</v>
      </c>
    </row>
    <row r="650" spans="1:20">
      <c r="A650" t="s">
        <v>620</v>
      </c>
      <c r="B650" t="s">
        <v>93</v>
      </c>
      <c r="C650" t="s">
        <v>49</v>
      </c>
      <c r="D650" t="s">
        <v>51</v>
      </c>
      <c r="E650" t="s">
        <v>51</v>
      </c>
      <c r="F650" t="s">
        <v>51</v>
      </c>
      <c r="G650" t="s">
        <v>52</v>
      </c>
      <c r="H650" t="s">
        <v>52</v>
      </c>
      <c r="I650" t="s">
        <v>52</v>
      </c>
      <c r="J650" t="s">
        <v>590</v>
      </c>
      <c r="K650" t="s">
        <v>52</v>
      </c>
      <c r="L650" t="s">
        <v>660</v>
      </c>
      <c r="M650" t="s">
        <v>654</v>
      </c>
      <c r="N650" t="s">
        <v>163</v>
      </c>
      <c r="O650" t="s">
        <v>141</v>
      </c>
      <c r="P650" t="s">
        <v>141</v>
      </c>
      <c r="Q650" t="s">
        <v>51</v>
      </c>
      <c r="R650" t="s">
        <v>51</v>
      </c>
      <c r="S650" t="s">
        <v>51</v>
      </c>
      <c r="T650" t="s">
        <v>51</v>
      </c>
    </row>
    <row r="651" spans="1:20">
      <c r="A651" t="s">
        <v>621</v>
      </c>
      <c r="B651" t="s">
        <v>95</v>
      </c>
      <c r="C651" t="s">
        <v>49</v>
      </c>
      <c r="D651" t="s">
        <v>51</v>
      </c>
      <c r="E651" t="s">
        <v>51</v>
      </c>
      <c r="F651" t="s">
        <v>51</v>
      </c>
      <c r="G651" t="s">
        <v>52</v>
      </c>
      <c r="H651" t="s">
        <v>52</v>
      </c>
      <c r="I651" t="s">
        <v>52</v>
      </c>
      <c r="J651" t="s">
        <v>590</v>
      </c>
      <c r="K651" t="s">
        <v>52</v>
      </c>
      <c r="L651" t="s">
        <v>660</v>
      </c>
      <c r="M651" t="s">
        <v>654</v>
      </c>
      <c r="N651" t="s">
        <v>163</v>
      </c>
      <c r="O651" t="s">
        <v>141</v>
      </c>
      <c r="P651" t="s">
        <v>141</v>
      </c>
      <c r="Q651" t="s">
        <v>51</v>
      </c>
      <c r="R651" t="s">
        <v>51</v>
      </c>
      <c r="S651" t="s">
        <v>51</v>
      </c>
      <c r="T651" t="s">
        <v>51</v>
      </c>
    </row>
    <row r="652" spans="1:20">
      <c r="A652" t="s">
        <v>622</v>
      </c>
      <c r="B652" t="s">
        <v>97</v>
      </c>
      <c r="C652" t="s">
        <v>49</v>
      </c>
      <c r="D652" t="s">
        <v>51</v>
      </c>
      <c r="E652" t="s">
        <v>51</v>
      </c>
      <c r="F652" t="s">
        <v>51</v>
      </c>
      <c r="G652" t="s">
        <v>52</v>
      </c>
      <c r="H652" t="s">
        <v>52</v>
      </c>
      <c r="I652" t="s">
        <v>52</v>
      </c>
      <c r="J652" t="s">
        <v>590</v>
      </c>
      <c r="K652" t="s">
        <v>52</v>
      </c>
      <c r="L652" t="s">
        <v>660</v>
      </c>
      <c r="M652" t="s">
        <v>654</v>
      </c>
      <c r="N652" t="s">
        <v>163</v>
      </c>
      <c r="O652" t="s">
        <v>141</v>
      </c>
      <c r="P652" t="s">
        <v>141</v>
      </c>
      <c r="Q652" t="s">
        <v>51</v>
      </c>
      <c r="R652" t="s">
        <v>51</v>
      </c>
      <c r="S652" t="s">
        <v>51</v>
      </c>
      <c r="T652" t="s">
        <v>51</v>
      </c>
    </row>
    <row r="653" spans="1:20">
      <c r="A653" t="s">
        <v>623</v>
      </c>
      <c r="B653" t="s">
        <v>99</v>
      </c>
      <c r="C653" t="s">
        <v>49</v>
      </c>
      <c r="D653" t="s">
        <v>51</v>
      </c>
      <c r="E653" t="s">
        <v>51</v>
      </c>
      <c r="F653" t="s">
        <v>51</v>
      </c>
      <c r="G653" t="s">
        <v>52</v>
      </c>
      <c r="H653" t="s">
        <v>52</v>
      </c>
      <c r="I653" t="s">
        <v>52</v>
      </c>
      <c r="J653" t="s">
        <v>590</v>
      </c>
      <c r="K653" t="s">
        <v>52</v>
      </c>
      <c r="L653" t="s">
        <v>660</v>
      </c>
      <c r="M653" t="s">
        <v>654</v>
      </c>
      <c r="N653" t="s">
        <v>163</v>
      </c>
      <c r="O653" t="s">
        <v>141</v>
      </c>
      <c r="P653" t="s">
        <v>141</v>
      </c>
      <c r="Q653" t="s">
        <v>51</v>
      </c>
      <c r="R653" t="s">
        <v>51</v>
      </c>
      <c r="S653" t="s">
        <v>51</v>
      </c>
      <c r="T653" t="s">
        <v>51</v>
      </c>
    </row>
    <row r="654" spans="1:20">
      <c r="A654" t="s">
        <v>624</v>
      </c>
      <c r="B654" t="s">
        <v>101</v>
      </c>
      <c r="C654" t="s">
        <v>49</v>
      </c>
      <c r="D654" t="s">
        <v>51</v>
      </c>
      <c r="E654" t="s">
        <v>51</v>
      </c>
      <c r="F654" t="s">
        <v>51</v>
      </c>
      <c r="G654" t="s">
        <v>52</v>
      </c>
      <c r="H654" t="s">
        <v>52</v>
      </c>
      <c r="I654" t="s">
        <v>52</v>
      </c>
      <c r="J654" t="s">
        <v>590</v>
      </c>
      <c r="K654" t="s">
        <v>52</v>
      </c>
      <c r="L654" t="s">
        <v>660</v>
      </c>
      <c r="M654" t="s">
        <v>654</v>
      </c>
      <c r="N654" t="s">
        <v>163</v>
      </c>
      <c r="O654" t="s">
        <v>141</v>
      </c>
      <c r="P654" t="s">
        <v>141</v>
      </c>
      <c r="Q654" t="s">
        <v>51</v>
      </c>
      <c r="R654" t="s">
        <v>51</v>
      </c>
      <c r="S654" t="s">
        <v>51</v>
      </c>
      <c r="T654" t="s">
        <v>51</v>
      </c>
    </row>
    <row r="655" spans="1:20">
      <c r="A655" t="s">
        <v>625</v>
      </c>
      <c r="B655" t="s">
        <v>103</v>
      </c>
      <c r="C655" t="s">
        <v>49</v>
      </c>
      <c r="D655" t="s">
        <v>51</v>
      </c>
      <c r="E655" t="s">
        <v>51</v>
      </c>
      <c r="F655" t="s">
        <v>51</v>
      </c>
      <c r="G655" t="s">
        <v>52</v>
      </c>
      <c r="H655" t="s">
        <v>52</v>
      </c>
      <c r="I655" t="s">
        <v>52</v>
      </c>
      <c r="J655" t="s">
        <v>590</v>
      </c>
      <c r="K655" t="s">
        <v>52</v>
      </c>
      <c r="L655" t="s">
        <v>660</v>
      </c>
      <c r="M655" t="s">
        <v>654</v>
      </c>
      <c r="N655" t="s">
        <v>163</v>
      </c>
      <c r="O655" t="s">
        <v>141</v>
      </c>
      <c r="P655" t="s">
        <v>141</v>
      </c>
      <c r="Q655" t="s">
        <v>51</v>
      </c>
      <c r="R655" t="s">
        <v>51</v>
      </c>
      <c r="S655" t="s">
        <v>51</v>
      </c>
      <c r="T655" t="s">
        <v>51</v>
      </c>
    </row>
    <row r="656" spans="1:20">
      <c r="A656" t="s">
        <v>626</v>
      </c>
      <c r="B656" t="s">
        <v>105</v>
      </c>
      <c r="C656" t="s">
        <v>49</v>
      </c>
      <c r="D656" t="s">
        <v>51</v>
      </c>
      <c r="E656" t="s">
        <v>51</v>
      </c>
      <c r="F656" t="s">
        <v>51</v>
      </c>
      <c r="G656" t="s">
        <v>52</v>
      </c>
      <c r="H656" t="s">
        <v>52</v>
      </c>
      <c r="I656" t="s">
        <v>52</v>
      </c>
      <c r="J656" t="s">
        <v>590</v>
      </c>
      <c r="K656" t="s">
        <v>52</v>
      </c>
      <c r="L656" t="s">
        <v>660</v>
      </c>
      <c r="M656" t="s">
        <v>654</v>
      </c>
      <c r="N656" t="s">
        <v>163</v>
      </c>
      <c r="O656" t="s">
        <v>141</v>
      </c>
      <c r="P656" t="s">
        <v>141</v>
      </c>
      <c r="Q656" t="s">
        <v>51</v>
      </c>
      <c r="R656" t="s">
        <v>51</v>
      </c>
      <c r="S656" t="s">
        <v>51</v>
      </c>
      <c r="T656" t="s">
        <v>51</v>
      </c>
    </row>
    <row r="657" spans="1:20">
      <c r="A657" t="s">
        <v>627</v>
      </c>
      <c r="B657" t="s">
        <v>107</v>
      </c>
      <c r="C657" t="s">
        <v>49</v>
      </c>
      <c r="D657" t="s">
        <v>51</v>
      </c>
      <c r="E657" t="s">
        <v>51</v>
      </c>
      <c r="F657" t="s">
        <v>51</v>
      </c>
      <c r="G657" t="s">
        <v>52</v>
      </c>
      <c r="H657" t="s">
        <v>52</v>
      </c>
      <c r="I657" t="s">
        <v>52</v>
      </c>
      <c r="J657" t="s">
        <v>590</v>
      </c>
      <c r="K657" t="s">
        <v>52</v>
      </c>
      <c r="L657" t="s">
        <v>660</v>
      </c>
      <c r="M657" t="s">
        <v>654</v>
      </c>
      <c r="N657" t="s">
        <v>163</v>
      </c>
      <c r="O657" t="s">
        <v>141</v>
      </c>
      <c r="P657" t="s">
        <v>141</v>
      </c>
      <c r="Q657" t="s">
        <v>51</v>
      </c>
      <c r="R657" t="s">
        <v>51</v>
      </c>
      <c r="S657" t="s">
        <v>51</v>
      </c>
      <c r="T657" t="s">
        <v>51</v>
      </c>
    </row>
    <row r="658" spans="1:20">
      <c r="A658" t="s">
        <v>628</v>
      </c>
      <c r="B658" t="s">
        <v>109</v>
      </c>
      <c r="C658" t="s">
        <v>49</v>
      </c>
      <c r="D658" t="s">
        <v>51</v>
      </c>
      <c r="E658" t="s">
        <v>51</v>
      </c>
      <c r="F658" t="s">
        <v>51</v>
      </c>
      <c r="G658" t="s">
        <v>52</v>
      </c>
      <c r="H658" t="s">
        <v>52</v>
      </c>
      <c r="I658" t="s">
        <v>52</v>
      </c>
      <c r="J658" t="s">
        <v>590</v>
      </c>
      <c r="K658" t="s">
        <v>52</v>
      </c>
      <c r="L658" t="s">
        <v>660</v>
      </c>
      <c r="M658" t="s">
        <v>654</v>
      </c>
      <c r="N658" t="s">
        <v>163</v>
      </c>
      <c r="O658" t="s">
        <v>141</v>
      </c>
      <c r="P658" t="s">
        <v>141</v>
      </c>
      <c r="Q658" t="s">
        <v>51</v>
      </c>
      <c r="R658" t="s">
        <v>51</v>
      </c>
      <c r="S658" t="s">
        <v>51</v>
      </c>
      <c r="T658" t="s">
        <v>51</v>
      </c>
    </row>
    <row r="659" spans="1:20">
      <c r="A659" t="s">
        <v>629</v>
      </c>
      <c r="B659" t="s">
        <v>111</v>
      </c>
      <c r="C659" t="s">
        <v>49</v>
      </c>
      <c r="D659" t="s">
        <v>51</v>
      </c>
      <c r="E659" t="s">
        <v>51</v>
      </c>
      <c r="F659" t="s">
        <v>51</v>
      </c>
      <c r="G659" t="s">
        <v>52</v>
      </c>
      <c r="H659" t="s">
        <v>52</v>
      </c>
      <c r="I659" t="s">
        <v>52</v>
      </c>
      <c r="J659" t="s">
        <v>590</v>
      </c>
      <c r="K659" t="s">
        <v>52</v>
      </c>
      <c r="L659" t="s">
        <v>660</v>
      </c>
      <c r="M659" t="s">
        <v>654</v>
      </c>
      <c r="N659" t="s">
        <v>163</v>
      </c>
      <c r="O659" t="s">
        <v>141</v>
      </c>
      <c r="P659" t="s">
        <v>141</v>
      </c>
      <c r="Q659" t="s">
        <v>51</v>
      </c>
      <c r="R659" t="s">
        <v>51</v>
      </c>
      <c r="S659" t="s">
        <v>51</v>
      </c>
      <c r="T659" t="s">
        <v>51</v>
      </c>
    </row>
    <row r="660" spans="1:20">
      <c r="A660" t="s">
        <v>630</v>
      </c>
      <c r="B660" t="s">
        <v>113</v>
      </c>
      <c r="C660" t="s">
        <v>49</v>
      </c>
      <c r="D660" t="s">
        <v>51</v>
      </c>
      <c r="E660" t="s">
        <v>51</v>
      </c>
      <c r="F660" t="s">
        <v>51</v>
      </c>
      <c r="G660" t="s">
        <v>52</v>
      </c>
      <c r="H660" t="s">
        <v>52</v>
      </c>
      <c r="I660" t="s">
        <v>52</v>
      </c>
      <c r="J660" t="s">
        <v>590</v>
      </c>
      <c r="K660" t="s">
        <v>52</v>
      </c>
      <c r="L660" t="s">
        <v>660</v>
      </c>
      <c r="M660" t="s">
        <v>654</v>
      </c>
      <c r="N660" t="s">
        <v>163</v>
      </c>
      <c r="O660" t="s">
        <v>141</v>
      </c>
      <c r="P660" t="s">
        <v>141</v>
      </c>
      <c r="Q660" t="s">
        <v>51</v>
      </c>
      <c r="R660" t="s">
        <v>51</v>
      </c>
      <c r="S660" t="s">
        <v>51</v>
      </c>
      <c r="T660" t="s">
        <v>51</v>
      </c>
    </row>
    <row r="661" spans="1:20">
      <c r="A661" t="s">
        <v>631</v>
      </c>
      <c r="B661" t="s">
        <v>115</v>
      </c>
      <c r="C661" t="s">
        <v>49</v>
      </c>
      <c r="D661" t="s">
        <v>51</v>
      </c>
      <c r="E661" t="s">
        <v>51</v>
      </c>
      <c r="F661" t="s">
        <v>51</v>
      </c>
      <c r="G661" t="s">
        <v>52</v>
      </c>
      <c r="H661" t="s">
        <v>52</v>
      </c>
      <c r="I661" t="s">
        <v>52</v>
      </c>
      <c r="J661" t="s">
        <v>590</v>
      </c>
      <c r="K661" t="s">
        <v>52</v>
      </c>
      <c r="L661" t="s">
        <v>660</v>
      </c>
      <c r="M661" t="s">
        <v>654</v>
      </c>
      <c r="N661" t="s">
        <v>163</v>
      </c>
      <c r="O661" t="s">
        <v>141</v>
      </c>
      <c r="P661" t="s">
        <v>141</v>
      </c>
      <c r="Q661" t="s">
        <v>51</v>
      </c>
      <c r="R661" t="s">
        <v>51</v>
      </c>
      <c r="S661" t="s">
        <v>51</v>
      </c>
      <c r="T661" t="s">
        <v>51</v>
      </c>
    </row>
    <row r="662" spans="1:20">
      <c r="A662" t="s">
        <v>632</v>
      </c>
      <c r="B662" t="s">
        <v>117</v>
      </c>
      <c r="C662" t="s">
        <v>49</v>
      </c>
      <c r="D662" t="s">
        <v>51</v>
      </c>
      <c r="E662" t="s">
        <v>51</v>
      </c>
      <c r="F662" t="s">
        <v>51</v>
      </c>
      <c r="G662" t="s">
        <v>52</v>
      </c>
      <c r="H662" t="s">
        <v>52</v>
      </c>
      <c r="I662" t="s">
        <v>52</v>
      </c>
      <c r="J662" t="s">
        <v>590</v>
      </c>
      <c r="K662" t="s">
        <v>52</v>
      </c>
      <c r="L662" t="s">
        <v>660</v>
      </c>
      <c r="M662" t="s">
        <v>654</v>
      </c>
      <c r="N662" t="s">
        <v>163</v>
      </c>
      <c r="O662" t="s">
        <v>141</v>
      </c>
      <c r="P662" t="s">
        <v>141</v>
      </c>
      <c r="Q662" t="s">
        <v>51</v>
      </c>
      <c r="R662" t="s">
        <v>51</v>
      </c>
      <c r="S662" t="s">
        <v>51</v>
      </c>
      <c r="T662" t="s">
        <v>51</v>
      </c>
    </row>
    <row r="663" spans="1:20">
      <c r="A663" t="s">
        <v>633</v>
      </c>
      <c r="B663" t="s">
        <v>119</v>
      </c>
      <c r="C663" t="s">
        <v>49</v>
      </c>
      <c r="D663" t="s">
        <v>51</v>
      </c>
      <c r="E663" t="s">
        <v>51</v>
      </c>
      <c r="F663" t="s">
        <v>51</v>
      </c>
      <c r="G663" t="s">
        <v>52</v>
      </c>
      <c r="H663" t="s">
        <v>52</v>
      </c>
      <c r="I663" t="s">
        <v>52</v>
      </c>
      <c r="J663" t="s">
        <v>590</v>
      </c>
      <c r="K663" t="s">
        <v>52</v>
      </c>
      <c r="L663" t="s">
        <v>660</v>
      </c>
      <c r="M663" t="s">
        <v>654</v>
      </c>
      <c r="N663" t="s">
        <v>163</v>
      </c>
      <c r="O663" t="s">
        <v>141</v>
      </c>
      <c r="P663" t="s">
        <v>141</v>
      </c>
      <c r="Q663" t="s">
        <v>51</v>
      </c>
      <c r="R663" t="s">
        <v>51</v>
      </c>
      <c r="S663" t="s">
        <v>51</v>
      </c>
      <c r="T663" t="s">
        <v>51</v>
      </c>
    </row>
    <row r="664" spans="1:20">
      <c r="A664" t="s">
        <v>634</v>
      </c>
      <c r="B664" t="s">
        <v>121</v>
      </c>
      <c r="C664" t="s">
        <v>49</v>
      </c>
      <c r="D664" t="s">
        <v>51</v>
      </c>
      <c r="E664" t="s">
        <v>51</v>
      </c>
      <c r="F664" t="s">
        <v>51</v>
      </c>
      <c r="G664" t="s">
        <v>52</v>
      </c>
      <c r="H664" t="s">
        <v>52</v>
      </c>
      <c r="I664" t="s">
        <v>52</v>
      </c>
      <c r="J664" t="s">
        <v>590</v>
      </c>
      <c r="K664" t="s">
        <v>52</v>
      </c>
      <c r="L664" t="s">
        <v>660</v>
      </c>
      <c r="M664" t="s">
        <v>654</v>
      </c>
      <c r="N664" t="s">
        <v>163</v>
      </c>
      <c r="O664" t="s">
        <v>141</v>
      </c>
      <c r="P664" t="s">
        <v>141</v>
      </c>
      <c r="Q664" t="s">
        <v>51</v>
      </c>
      <c r="R664" t="s">
        <v>51</v>
      </c>
      <c r="S664" t="s">
        <v>51</v>
      </c>
      <c r="T664" t="s">
        <v>51</v>
      </c>
    </row>
    <row r="665" spans="1:20">
      <c r="A665" t="s">
        <v>635</v>
      </c>
      <c r="B665" t="s">
        <v>123</v>
      </c>
      <c r="C665" t="s">
        <v>49</v>
      </c>
      <c r="D665" t="s">
        <v>51</v>
      </c>
      <c r="E665" t="s">
        <v>51</v>
      </c>
      <c r="F665" t="s">
        <v>51</v>
      </c>
      <c r="G665" t="s">
        <v>52</v>
      </c>
      <c r="H665" t="s">
        <v>52</v>
      </c>
      <c r="I665" t="s">
        <v>52</v>
      </c>
      <c r="J665" t="s">
        <v>590</v>
      </c>
      <c r="K665" t="s">
        <v>52</v>
      </c>
      <c r="L665" t="s">
        <v>660</v>
      </c>
      <c r="M665" t="s">
        <v>654</v>
      </c>
      <c r="N665" t="s">
        <v>163</v>
      </c>
      <c r="O665" t="s">
        <v>141</v>
      </c>
      <c r="P665" t="s">
        <v>141</v>
      </c>
      <c r="Q665" t="s">
        <v>51</v>
      </c>
      <c r="R665" t="s">
        <v>51</v>
      </c>
      <c r="S665" t="s">
        <v>51</v>
      </c>
      <c r="T665" t="s">
        <v>51</v>
      </c>
    </row>
    <row r="666" spans="1:20">
      <c r="A666" t="s">
        <v>636</v>
      </c>
      <c r="B666" t="s">
        <v>125</v>
      </c>
      <c r="C666" t="s">
        <v>49</v>
      </c>
      <c r="D666" t="s">
        <v>51</v>
      </c>
      <c r="E666" t="s">
        <v>51</v>
      </c>
      <c r="F666" t="s">
        <v>51</v>
      </c>
      <c r="G666" t="s">
        <v>52</v>
      </c>
      <c r="H666" t="s">
        <v>52</v>
      </c>
      <c r="I666" t="s">
        <v>52</v>
      </c>
      <c r="J666" t="s">
        <v>590</v>
      </c>
      <c r="K666" t="s">
        <v>52</v>
      </c>
      <c r="L666" t="s">
        <v>660</v>
      </c>
      <c r="M666" t="s">
        <v>654</v>
      </c>
      <c r="N666" t="s">
        <v>163</v>
      </c>
      <c r="O666" t="s">
        <v>141</v>
      </c>
      <c r="P666" t="s">
        <v>141</v>
      </c>
      <c r="Q666" t="s">
        <v>51</v>
      </c>
      <c r="R666" t="s">
        <v>51</v>
      </c>
      <c r="S666" t="s">
        <v>51</v>
      </c>
      <c r="T666" t="s">
        <v>51</v>
      </c>
    </row>
    <row r="667" spans="1:20">
      <c r="A667" t="s">
        <v>637</v>
      </c>
      <c r="B667" t="s">
        <v>127</v>
      </c>
      <c r="C667" t="s">
        <v>49</v>
      </c>
      <c r="D667" t="s">
        <v>51</v>
      </c>
      <c r="E667" t="s">
        <v>51</v>
      </c>
      <c r="F667" t="s">
        <v>51</v>
      </c>
      <c r="G667" t="s">
        <v>52</v>
      </c>
      <c r="H667" t="s">
        <v>52</v>
      </c>
      <c r="I667" t="s">
        <v>52</v>
      </c>
      <c r="J667" t="s">
        <v>590</v>
      </c>
      <c r="K667" t="s">
        <v>52</v>
      </c>
      <c r="L667" t="s">
        <v>660</v>
      </c>
      <c r="M667" t="s">
        <v>654</v>
      </c>
      <c r="N667" t="s">
        <v>163</v>
      </c>
      <c r="O667" t="s">
        <v>141</v>
      </c>
      <c r="P667" t="s">
        <v>141</v>
      </c>
      <c r="Q667" t="s">
        <v>51</v>
      </c>
      <c r="R667" t="s">
        <v>51</v>
      </c>
      <c r="S667" t="s">
        <v>51</v>
      </c>
      <c r="T667" t="s">
        <v>51</v>
      </c>
    </row>
    <row r="668" spans="1:20">
      <c r="A668" t="s">
        <v>638</v>
      </c>
      <c r="B668" t="s">
        <v>129</v>
      </c>
      <c r="C668" t="s">
        <v>49</v>
      </c>
      <c r="D668" t="s">
        <v>51</v>
      </c>
      <c r="E668" t="s">
        <v>51</v>
      </c>
      <c r="F668" t="s">
        <v>51</v>
      </c>
      <c r="G668" t="s">
        <v>52</v>
      </c>
      <c r="H668" t="s">
        <v>52</v>
      </c>
      <c r="I668" t="s">
        <v>52</v>
      </c>
      <c r="J668" t="s">
        <v>590</v>
      </c>
      <c r="K668" t="s">
        <v>52</v>
      </c>
      <c r="L668" t="s">
        <v>660</v>
      </c>
      <c r="M668" t="s">
        <v>654</v>
      </c>
      <c r="N668" t="s">
        <v>163</v>
      </c>
      <c r="O668" t="s">
        <v>141</v>
      </c>
      <c r="P668" t="s">
        <v>141</v>
      </c>
      <c r="Q668" t="s">
        <v>51</v>
      </c>
      <c r="R668" t="s">
        <v>51</v>
      </c>
      <c r="S668" t="s">
        <v>51</v>
      </c>
      <c r="T668" t="s">
        <v>51</v>
      </c>
    </row>
    <row r="669" spans="1:20">
      <c r="A669" t="s">
        <v>639</v>
      </c>
      <c r="B669" t="s">
        <v>131</v>
      </c>
      <c r="C669" t="s">
        <v>49</v>
      </c>
      <c r="D669" t="s">
        <v>51</v>
      </c>
      <c r="E669" t="s">
        <v>51</v>
      </c>
      <c r="F669" t="s">
        <v>51</v>
      </c>
      <c r="G669" t="s">
        <v>52</v>
      </c>
      <c r="H669" t="s">
        <v>52</v>
      </c>
      <c r="I669" t="s">
        <v>52</v>
      </c>
      <c r="J669" t="s">
        <v>590</v>
      </c>
      <c r="K669" t="s">
        <v>52</v>
      </c>
      <c r="L669" t="s">
        <v>660</v>
      </c>
      <c r="M669" t="s">
        <v>654</v>
      </c>
      <c r="N669" t="s">
        <v>163</v>
      </c>
      <c r="O669" t="s">
        <v>141</v>
      </c>
      <c r="P669" t="s">
        <v>141</v>
      </c>
      <c r="Q669" t="s">
        <v>51</v>
      </c>
      <c r="R669" t="s">
        <v>51</v>
      </c>
      <c r="S669" t="s">
        <v>51</v>
      </c>
      <c r="T669" t="s">
        <v>51</v>
      </c>
    </row>
    <row r="670" spans="1:20">
      <c r="A670" t="s">
        <v>640</v>
      </c>
      <c r="B670" t="s">
        <v>133</v>
      </c>
      <c r="C670" t="s">
        <v>49</v>
      </c>
      <c r="D670" t="s">
        <v>51</v>
      </c>
      <c r="E670" t="s">
        <v>51</v>
      </c>
      <c r="F670" t="s">
        <v>51</v>
      </c>
      <c r="G670" t="s">
        <v>52</v>
      </c>
      <c r="H670" t="s">
        <v>52</v>
      </c>
      <c r="I670" t="s">
        <v>52</v>
      </c>
      <c r="J670" t="s">
        <v>590</v>
      </c>
      <c r="K670" t="s">
        <v>52</v>
      </c>
      <c r="L670" t="s">
        <v>660</v>
      </c>
      <c r="M670" t="s">
        <v>654</v>
      </c>
      <c r="N670" t="s">
        <v>163</v>
      </c>
      <c r="O670" t="s">
        <v>141</v>
      </c>
      <c r="P670" t="s">
        <v>141</v>
      </c>
      <c r="Q670" t="s">
        <v>51</v>
      </c>
      <c r="R670" t="s">
        <v>51</v>
      </c>
      <c r="S670" t="s">
        <v>51</v>
      </c>
      <c r="T670" t="s">
        <v>51</v>
      </c>
    </row>
    <row r="671" spans="1:20">
      <c r="A671" t="s">
        <v>641</v>
      </c>
      <c r="B671" t="s">
        <v>135</v>
      </c>
      <c r="C671" t="s">
        <v>49</v>
      </c>
      <c r="D671" t="s">
        <v>51</v>
      </c>
      <c r="E671" t="s">
        <v>51</v>
      </c>
      <c r="F671" t="s">
        <v>51</v>
      </c>
      <c r="G671" t="s">
        <v>52</v>
      </c>
      <c r="H671" t="s">
        <v>52</v>
      </c>
      <c r="I671" t="s">
        <v>52</v>
      </c>
      <c r="J671" t="s">
        <v>590</v>
      </c>
      <c r="K671" t="s">
        <v>52</v>
      </c>
      <c r="L671" t="s">
        <v>660</v>
      </c>
      <c r="M671" t="s">
        <v>654</v>
      </c>
      <c r="N671" t="s">
        <v>163</v>
      </c>
      <c r="O671" t="s">
        <v>141</v>
      </c>
      <c r="P671" t="s">
        <v>141</v>
      </c>
      <c r="Q671" t="s">
        <v>51</v>
      </c>
      <c r="R671" t="s">
        <v>51</v>
      </c>
      <c r="S671" t="s">
        <v>51</v>
      </c>
      <c r="T671" t="s">
        <v>51</v>
      </c>
    </row>
    <row r="672" spans="1:20">
      <c r="A672" t="s">
        <v>642</v>
      </c>
      <c r="B672" t="s">
        <v>137</v>
      </c>
      <c r="C672" t="s">
        <v>49</v>
      </c>
      <c r="D672" t="s">
        <v>51</v>
      </c>
      <c r="E672" t="s">
        <v>51</v>
      </c>
      <c r="F672" t="s">
        <v>51</v>
      </c>
      <c r="G672" t="s">
        <v>52</v>
      </c>
      <c r="H672" t="s">
        <v>52</v>
      </c>
      <c r="I672" t="s">
        <v>52</v>
      </c>
      <c r="J672" t="s">
        <v>590</v>
      </c>
      <c r="K672" t="s">
        <v>52</v>
      </c>
      <c r="L672" t="s">
        <v>660</v>
      </c>
      <c r="M672" t="s">
        <v>654</v>
      </c>
      <c r="N672" t="s">
        <v>163</v>
      </c>
      <c r="O672" t="s">
        <v>141</v>
      </c>
      <c r="P672" t="s">
        <v>141</v>
      </c>
      <c r="Q672" t="s">
        <v>51</v>
      </c>
      <c r="R672" t="s">
        <v>51</v>
      </c>
      <c r="S672" t="s">
        <v>51</v>
      </c>
      <c r="T672" t="s">
        <v>51</v>
      </c>
    </row>
    <row r="673" spans="1:20">
      <c r="A673" t="s">
        <v>643</v>
      </c>
      <c r="B673" t="s">
        <v>139</v>
      </c>
      <c r="C673" t="s">
        <v>49</v>
      </c>
      <c r="D673" t="s">
        <v>51</v>
      </c>
      <c r="E673" t="s">
        <v>51</v>
      </c>
      <c r="F673" t="s">
        <v>51</v>
      </c>
      <c r="G673" t="s">
        <v>52</v>
      </c>
      <c r="H673" t="s">
        <v>52</v>
      </c>
      <c r="I673" t="s">
        <v>52</v>
      </c>
      <c r="J673" t="s">
        <v>590</v>
      </c>
      <c r="K673" t="s">
        <v>52</v>
      </c>
      <c r="L673" t="s">
        <v>660</v>
      </c>
      <c r="M673" t="s">
        <v>654</v>
      </c>
      <c r="N673" t="s">
        <v>163</v>
      </c>
      <c r="O673" t="s">
        <v>141</v>
      </c>
      <c r="P673" t="s">
        <v>141</v>
      </c>
      <c r="Q673" t="s">
        <v>51</v>
      </c>
      <c r="R673" t="s">
        <v>51</v>
      </c>
      <c r="S673" t="s">
        <v>51</v>
      </c>
      <c r="T673" t="s">
        <v>51</v>
      </c>
    </row>
    <row r="674" spans="1:20">
      <c r="A674" t="s">
        <v>644</v>
      </c>
      <c r="B674" t="s">
        <v>141</v>
      </c>
      <c r="C674" t="s">
        <v>49</v>
      </c>
      <c r="D674" t="s">
        <v>51</v>
      </c>
      <c r="E674" t="s">
        <v>51</v>
      </c>
      <c r="F674" t="s">
        <v>51</v>
      </c>
      <c r="G674" t="s">
        <v>52</v>
      </c>
      <c r="H674" t="s">
        <v>52</v>
      </c>
      <c r="I674" t="s">
        <v>52</v>
      </c>
      <c r="J674" t="s">
        <v>590</v>
      </c>
      <c r="K674" t="s">
        <v>52</v>
      </c>
      <c r="L674" t="s">
        <v>660</v>
      </c>
      <c r="M674" t="s">
        <v>654</v>
      </c>
      <c r="N674" t="s">
        <v>163</v>
      </c>
      <c r="O674" t="s">
        <v>141</v>
      </c>
      <c r="P674" t="s">
        <v>141</v>
      </c>
      <c r="Q674" t="s">
        <v>51</v>
      </c>
      <c r="R674" t="s">
        <v>51</v>
      </c>
      <c r="S674" t="s">
        <v>51</v>
      </c>
      <c r="T674" t="s">
        <v>51</v>
      </c>
    </row>
    <row r="675" spans="1:20">
      <c r="A675" t="s">
        <v>645</v>
      </c>
      <c r="B675" t="s">
        <v>143</v>
      </c>
      <c r="C675" t="s">
        <v>49</v>
      </c>
      <c r="D675" t="s">
        <v>51</v>
      </c>
      <c r="E675" t="s">
        <v>51</v>
      </c>
      <c r="F675" t="s">
        <v>51</v>
      </c>
      <c r="G675" t="s">
        <v>52</v>
      </c>
      <c r="H675" t="s">
        <v>52</v>
      </c>
      <c r="I675" t="s">
        <v>52</v>
      </c>
      <c r="J675" t="s">
        <v>590</v>
      </c>
      <c r="K675" t="s">
        <v>52</v>
      </c>
      <c r="L675" t="s">
        <v>660</v>
      </c>
      <c r="M675" t="s">
        <v>654</v>
      </c>
      <c r="N675" t="s">
        <v>163</v>
      </c>
      <c r="O675" t="s">
        <v>141</v>
      </c>
      <c r="P675" t="s">
        <v>141</v>
      </c>
      <c r="Q675" t="s">
        <v>51</v>
      </c>
      <c r="R675" t="s">
        <v>51</v>
      </c>
      <c r="S675" t="s">
        <v>51</v>
      </c>
      <c r="T675" t="s">
        <v>51</v>
      </c>
    </row>
    <row r="676" spans="1:20">
      <c r="A676" t="s">
        <v>646</v>
      </c>
      <c r="B676" t="s">
        <v>145</v>
      </c>
      <c r="C676" t="s">
        <v>49</v>
      </c>
      <c r="D676" t="s">
        <v>51</v>
      </c>
      <c r="E676" t="s">
        <v>51</v>
      </c>
      <c r="F676" t="s">
        <v>51</v>
      </c>
      <c r="G676" t="s">
        <v>52</v>
      </c>
      <c r="H676" t="s">
        <v>52</v>
      </c>
      <c r="I676" t="s">
        <v>52</v>
      </c>
      <c r="J676" t="s">
        <v>590</v>
      </c>
      <c r="K676" t="s">
        <v>52</v>
      </c>
      <c r="L676" t="s">
        <v>660</v>
      </c>
      <c r="M676" t="s">
        <v>654</v>
      </c>
      <c r="N676" t="s">
        <v>163</v>
      </c>
      <c r="O676" t="s">
        <v>141</v>
      </c>
      <c r="P676" t="s">
        <v>141</v>
      </c>
      <c r="Q676" t="s">
        <v>51</v>
      </c>
      <c r="R676" t="s">
        <v>51</v>
      </c>
      <c r="S676" t="s">
        <v>51</v>
      </c>
      <c r="T676" t="s">
        <v>51</v>
      </c>
    </row>
    <row r="677" spans="1:20">
      <c r="A677" t="s">
        <v>647</v>
      </c>
      <c r="B677" t="s">
        <v>147</v>
      </c>
      <c r="C677" t="s">
        <v>49</v>
      </c>
      <c r="D677" t="s">
        <v>51</v>
      </c>
      <c r="E677" t="s">
        <v>51</v>
      </c>
      <c r="F677" t="s">
        <v>51</v>
      </c>
      <c r="G677" t="s">
        <v>52</v>
      </c>
      <c r="H677" t="s">
        <v>52</v>
      </c>
      <c r="I677" t="s">
        <v>52</v>
      </c>
      <c r="J677" t="s">
        <v>590</v>
      </c>
      <c r="K677" t="s">
        <v>52</v>
      </c>
      <c r="L677" t="s">
        <v>660</v>
      </c>
      <c r="M677" t="s">
        <v>654</v>
      </c>
      <c r="N677" t="s">
        <v>163</v>
      </c>
      <c r="O677" t="s">
        <v>141</v>
      </c>
      <c r="P677" t="s">
        <v>141</v>
      </c>
      <c r="Q677" t="s">
        <v>51</v>
      </c>
      <c r="R677" t="s">
        <v>51</v>
      </c>
      <c r="S677" t="s">
        <v>51</v>
      </c>
      <c r="T677" t="s">
        <v>51</v>
      </c>
    </row>
    <row r="678" spans="1:20">
      <c r="A678" t="s">
        <v>648</v>
      </c>
      <c r="B678" t="s">
        <v>149</v>
      </c>
      <c r="C678" t="s">
        <v>49</v>
      </c>
      <c r="D678" t="s">
        <v>51</v>
      </c>
      <c r="E678" t="s">
        <v>51</v>
      </c>
      <c r="F678" t="s">
        <v>51</v>
      </c>
      <c r="G678" t="s">
        <v>52</v>
      </c>
      <c r="H678" t="s">
        <v>52</v>
      </c>
      <c r="I678" t="s">
        <v>52</v>
      </c>
      <c r="J678" t="s">
        <v>590</v>
      </c>
      <c r="K678" t="s">
        <v>52</v>
      </c>
      <c r="L678" t="s">
        <v>660</v>
      </c>
      <c r="M678" t="s">
        <v>654</v>
      </c>
      <c r="N678" t="s">
        <v>163</v>
      </c>
      <c r="O678" t="s">
        <v>141</v>
      </c>
      <c r="P678" t="s">
        <v>141</v>
      </c>
      <c r="Q678" t="s">
        <v>51</v>
      </c>
      <c r="R678" t="s">
        <v>51</v>
      </c>
      <c r="S678" t="s">
        <v>51</v>
      </c>
      <c r="T678" t="s">
        <v>51</v>
      </c>
    </row>
    <row r="679" spans="1:20">
      <c r="A679" t="s">
        <v>649</v>
      </c>
      <c r="B679" t="s">
        <v>151</v>
      </c>
      <c r="C679" t="s">
        <v>49</v>
      </c>
      <c r="D679" t="s">
        <v>51</v>
      </c>
      <c r="E679" t="s">
        <v>51</v>
      </c>
      <c r="F679" t="s">
        <v>51</v>
      </c>
      <c r="G679" t="s">
        <v>52</v>
      </c>
      <c r="H679" t="s">
        <v>52</v>
      </c>
      <c r="I679" t="s">
        <v>52</v>
      </c>
      <c r="J679" t="s">
        <v>590</v>
      </c>
      <c r="K679" t="s">
        <v>52</v>
      </c>
      <c r="L679" t="s">
        <v>660</v>
      </c>
      <c r="M679" t="s">
        <v>654</v>
      </c>
      <c r="N679" t="s">
        <v>163</v>
      </c>
      <c r="O679" t="s">
        <v>141</v>
      </c>
      <c r="P679" t="s">
        <v>141</v>
      </c>
      <c r="Q679" t="s">
        <v>51</v>
      </c>
      <c r="R679" t="s">
        <v>51</v>
      </c>
      <c r="S679" t="s">
        <v>51</v>
      </c>
      <c r="T679" t="s">
        <v>51</v>
      </c>
    </row>
    <row r="680" spans="1:20">
      <c r="A680" t="s">
        <v>650</v>
      </c>
      <c r="B680" t="s">
        <v>153</v>
      </c>
      <c r="C680" t="s">
        <v>49</v>
      </c>
      <c r="D680" t="s">
        <v>51</v>
      </c>
      <c r="E680" t="s">
        <v>51</v>
      </c>
      <c r="F680" t="s">
        <v>51</v>
      </c>
      <c r="G680" t="s">
        <v>52</v>
      </c>
      <c r="H680" t="s">
        <v>52</v>
      </c>
      <c r="I680" t="s">
        <v>52</v>
      </c>
      <c r="J680" t="s">
        <v>590</v>
      </c>
      <c r="K680" t="s">
        <v>52</v>
      </c>
      <c r="L680" t="s">
        <v>660</v>
      </c>
      <c r="M680" t="s">
        <v>654</v>
      </c>
      <c r="N680" t="s">
        <v>163</v>
      </c>
      <c r="O680" t="s">
        <v>141</v>
      </c>
      <c r="P680" t="s">
        <v>141</v>
      </c>
      <c r="Q680" t="s">
        <v>51</v>
      </c>
      <c r="R680" t="s">
        <v>51</v>
      </c>
      <c r="S680" t="s">
        <v>51</v>
      </c>
      <c r="T680" t="s">
        <v>51</v>
      </c>
    </row>
    <row r="681" spans="1:20">
      <c r="A681" t="s">
        <v>588</v>
      </c>
      <c r="B681" t="s">
        <v>589</v>
      </c>
      <c r="C681" t="s">
        <v>165</v>
      </c>
      <c r="D681" t="s">
        <v>50</v>
      </c>
      <c r="E681" t="s">
        <v>51</v>
      </c>
      <c r="F681" t="s">
        <v>51</v>
      </c>
      <c r="G681" t="s">
        <v>52</v>
      </c>
      <c r="H681" t="s">
        <v>52</v>
      </c>
      <c r="I681" t="s">
        <v>52</v>
      </c>
      <c r="J681" t="s">
        <v>52</v>
      </c>
      <c r="K681" t="s">
        <v>52</v>
      </c>
      <c r="L681" t="s">
        <v>661</v>
      </c>
      <c r="M681" t="s">
        <v>654</v>
      </c>
      <c r="N681" t="s">
        <v>163</v>
      </c>
      <c r="O681" t="s">
        <v>143</v>
      </c>
      <c r="P681" t="s">
        <v>143</v>
      </c>
      <c r="Q681" t="s">
        <v>51</v>
      </c>
      <c r="R681" t="s">
        <v>51</v>
      </c>
      <c r="S681" t="s">
        <v>51</v>
      </c>
      <c r="T681" t="s">
        <v>51</v>
      </c>
    </row>
    <row r="682" spans="1:20">
      <c r="A682" t="s">
        <v>608</v>
      </c>
      <c r="B682" t="s">
        <v>69</v>
      </c>
      <c r="C682" t="s">
        <v>49</v>
      </c>
      <c r="D682" t="s">
        <v>51</v>
      </c>
      <c r="E682" t="s">
        <v>51</v>
      </c>
      <c r="F682" t="s">
        <v>51</v>
      </c>
      <c r="G682" t="s">
        <v>52</v>
      </c>
      <c r="H682" t="s">
        <v>52</v>
      </c>
      <c r="I682" t="s">
        <v>52</v>
      </c>
      <c r="J682" t="s">
        <v>590</v>
      </c>
      <c r="K682" t="s">
        <v>52</v>
      </c>
      <c r="L682" t="s">
        <v>661</v>
      </c>
      <c r="M682" t="s">
        <v>654</v>
      </c>
      <c r="N682" t="s">
        <v>163</v>
      </c>
      <c r="O682" t="s">
        <v>143</v>
      </c>
      <c r="P682" t="s">
        <v>143</v>
      </c>
      <c r="Q682" t="s">
        <v>51</v>
      </c>
      <c r="R682" t="s">
        <v>51</v>
      </c>
      <c r="S682" t="s">
        <v>51</v>
      </c>
      <c r="T682" t="s">
        <v>51</v>
      </c>
    </row>
    <row r="683" spans="1:20">
      <c r="A683" t="s">
        <v>609</v>
      </c>
      <c r="B683" t="s">
        <v>71</v>
      </c>
      <c r="C683" t="s">
        <v>49</v>
      </c>
      <c r="D683" t="s">
        <v>51</v>
      </c>
      <c r="E683" t="s">
        <v>51</v>
      </c>
      <c r="F683" t="s">
        <v>51</v>
      </c>
      <c r="G683" t="s">
        <v>52</v>
      </c>
      <c r="H683" t="s">
        <v>52</v>
      </c>
      <c r="I683" t="s">
        <v>52</v>
      </c>
      <c r="J683" t="s">
        <v>590</v>
      </c>
      <c r="K683" t="s">
        <v>52</v>
      </c>
      <c r="L683" t="s">
        <v>661</v>
      </c>
      <c r="M683" t="s">
        <v>654</v>
      </c>
      <c r="N683" t="s">
        <v>163</v>
      </c>
      <c r="O683" t="s">
        <v>143</v>
      </c>
      <c r="P683" t="s">
        <v>143</v>
      </c>
      <c r="Q683" t="s">
        <v>51</v>
      </c>
      <c r="R683" t="s">
        <v>51</v>
      </c>
      <c r="S683" t="s">
        <v>51</v>
      </c>
      <c r="T683" t="s">
        <v>51</v>
      </c>
    </row>
    <row r="684" spans="1:20">
      <c r="A684" t="s">
        <v>610</v>
      </c>
      <c r="B684" t="s">
        <v>73</v>
      </c>
      <c r="C684" t="s">
        <v>49</v>
      </c>
      <c r="D684" t="s">
        <v>51</v>
      </c>
      <c r="E684" t="s">
        <v>51</v>
      </c>
      <c r="F684" t="s">
        <v>51</v>
      </c>
      <c r="G684" t="s">
        <v>52</v>
      </c>
      <c r="H684" t="s">
        <v>52</v>
      </c>
      <c r="I684" t="s">
        <v>52</v>
      </c>
      <c r="J684" t="s">
        <v>590</v>
      </c>
      <c r="K684" t="s">
        <v>52</v>
      </c>
      <c r="L684" t="s">
        <v>661</v>
      </c>
      <c r="M684" t="s">
        <v>654</v>
      </c>
      <c r="N684" t="s">
        <v>163</v>
      </c>
      <c r="O684" t="s">
        <v>143</v>
      </c>
      <c r="P684" t="s">
        <v>143</v>
      </c>
      <c r="Q684" t="s">
        <v>51</v>
      </c>
      <c r="R684" t="s">
        <v>51</v>
      </c>
      <c r="S684" t="s">
        <v>51</v>
      </c>
      <c r="T684" t="s">
        <v>51</v>
      </c>
    </row>
    <row r="685" spans="1:20">
      <c r="A685" t="s">
        <v>611</v>
      </c>
      <c r="B685" t="s">
        <v>75</v>
      </c>
      <c r="C685" t="s">
        <v>49</v>
      </c>
      <c r="D685" t="s">
        <v>51</v>
      </c>
      <c r="E685" t="s">
        <v>51</v>
      </c>
      <c r="F685" t="s">
        <v>51</v>
      </c>
      <c r="G685" t="s">
        <v>52</v>
      </c>
      <c r="H685" t="s">
        <v>52</v>
      </c>
      <c r="I685" t="s">
        <v>52</v>
      </c>
      <c r="J685" t="s">
        <v>590</v>
      </c>
      <c r="K685" t="s">
        <v>52</v>
      </c>
      <c r="L685" t="s">
        <v>661</v>
      </c>
      <c r="M685" t="s">
        <v>654</v>
      </c>
      <c r="N685" t="s">
        <v>163</v>
      </c>
      <c r="O685" t="s">
        <v>143</v>
      </c>
      <c r="P685" t="s">
        <v>143</v>
      </c>
      <c r="Q685" t="s">
        <v>51</v>
      </c>
      <c r="R685" t="s">
        <v>51</v>
      </c>
      <c r="S685" t="s">
        <v>51</v>
      </c>
      <c r="T685" t="s">
        <v>51</v>
      </c>
    </row>
    <row r="686" spans="1:20">
      <c r="A686" t="s">
        <v>612</v>
      </c>
      <c r="B686" t="s">
        <v>77</v>
      </c>
      <c r="C686" t="s">
        <v>49</v>
      </c>
      <c r="D686" t="s">
        <v>51</v>
      </c>
      <c r="E686" t="s">
        <v>51</v>
      </c>
      <c r="F686" t="s">
        <v>51</v>
      </c>
      <c r="G686" t="s">
        <v>52</v>
      </c>
      <c r="H686" t="s">
        <v>52</v>
      </c>
      <c r="I686" t="s">
        <v>52</v>
      </c>
      <c r="J686" t="s">
        <v>590</v>
      </c>
      <c r="K686" t="s">
        <v>52</v>
      </c>
      <c r="L686" t="s">
        <v>661</v>
      </c>
      <c r="M686" t="s">
        <v>654</v>
      </c>
      <c r="N686" t="s">
        <v>163</v>
      </c>
      <c r="O686" t="s">
        <v>143</v>
      </c>
      <c r="P686" t="s">
        <v>143</v>
      </c>
      <c r="Q686" t="s">
        <v>51</v>
      </c>
      <c r="R686" t="s">
        <v>51</v>
      </c>
      <c r="S686" t="s">
        <v>51</v>
      </c>
      <c r="T686" t="s">
        <v>51</v>
      </c>
    </row>
    <row r="687" spans="1:20">
      <c r="A687" t="s">
        <v>613</v>
      </c>
      <c r="B687" t="s">
        <v>79</v>
      </c>
      <c r="C687" t="s">
        <v>49</v>
      </c>
      <c r="D687" t="s">
        <v>51</v>
      </c>
      <c r="E687" t="s">
        <v>51</v>
      </c>
      <c r="F687" t="s">
        <v>51</v>
      </c>
      <c r="G687" t="s">
        <v>52</v>
      </c>
      <c r="H687" t="s">
        <v>52</v>
      </c>
      <c r="I687" t="s">
        <v>52</v>
      </c>
      <c r="J687" t="s">
        <v>590</v>
      </c>
      <c r="K687" t="s">
        <v>52</v>
      </c>
      <c r="L687" t="s">
        <v>661</v>
      </c>
      <c r="M687" t="s">
        <v>654</v>
      </c>
      <c r="N687" t="s">
        <v>163</v>
      </c>
      <c r="O687" t="s">
        <v>143</v>
      </c>
      <c r="P687" t="s">
        <v>143</v>
      </c>
      <c r="Q687" t="s">
        <v>51</v>
      </c>
      <c r="R687" t="s">
        <v>51</v>
      </c>
      <c r="S687" t="s">
        <v>51</v>
      </c>
      <c r="T687" t="s">
        <v>51</v>
      </c>
    </row>
    <row r="688" spans="1:20">
      <c r="A688" t="s">
        <v>614</v>
      </c>
      <c r="B688" t="s">
        <v>81</v>
      </c>
      <c r="C688" t="s">
        <v>49</v>
      </c>
      <c r="D688" t="s">
        <v>51</v>
      </c>
      <c r="E688" t="s">
        <v>51</v>
      </c>
      <c r="F688" t="s">
        <v>51</v>
      </c>
      <c r="G688" t="s">
        <v>52</v>
      </c>
      <c r="H688" t="s">
        <v>52</v>
      </c>
      <c r="I688" t="s">
        <v>52</v>
      </c>
      <c r="J688" t="s">
        <v>590</v>
      </c>
      <c r="K688" t="s">
        <v>52</v>
      </c>
      <c r="L688" t="s">
        <v>661</v>
      </c>
      <c r="M688" t="s">
        <v>654</v>
      </c>
      <c r="N688" t="s">
        <v>163</v>
      </c>
      <c r="O688" t="s">
        <v>143</v>
      </c>
      <c r="P688" t="s">
        <v>143</v>
      </c>
      <c r="Q688" t="s">
        <v>51</v>
      </c>
      <c r="R688" t="s">
        <v>51</v>
      </c>
      <c r="S688" t="s">
        <v>51</v>
      </c>
      <c r="T688" t="s">
        <v>51</v>
      </c>
    </row>
    <row r="689" spans="1:20">
      <c r="A689" t="s">
        <v>615</v>
      </c>
      <c r="B689" t="s">
        <v>83</v>
      </c>
      <c r="C689" t="s">
        <v>49</v>
      </c>
      <c r="D689" t="s">
        <v>51</v>
      </c>
      <c r="E689" t="s">
        <v>51</v>
      </c>
      <c r="F689" t="s">
        <v>51</v>
      </c>
      <c r="G689" t="s">
        <v>52</v>
      </c>
      <c r="H689" t="s">
        <v>52</v>
      </c>
      <c r="I689" t="s">
        <v>52</v>
      </c>
      <c r="J689" t="s">
        <v>590</v>
      </c>
      <c r="K689" t="s">
        <v>52</v>
      </c>
      <c r="L689" t="s">
        <v>661</v>
      </c>
      <c r="M689" t="s">
        <v>654</v>
      </c>
      <c r="N689" t="s">
        <v>163</v>
      </c>
      <c r="O689" t="s">
        <v>143</v>
      </c>
      <c r="P689" t="s">
        <v>143</v>
      </c>
      <c r="Q689" t="s">
        <v>51</v>
      </c>
      <c r="R689" t="s">
        <v>51</v>
      </c>
      <c r="S689" t="s">
        <v>51</v>
      </c>
      <c r="T689" t="s">
        <v>51</v>
      </c>
    </row>
    <row r="690" spans="1:20">
      <c r="A690" t="s">
        <v>616</v>
      </c>
      <c r="B690" t="s">
        <v>85</v>
      </c>
      <c r="C690" t="s">
        <v>49</v>
      </c>
      <c r="D690" t="s">
        <v>51</v>
      </c>
      <c r="E690" t="s">
        <v>51</v>
      </c>
      <c r="F690" t="s">
        <v>51</v>
      </c>
      <c r="G690" t="s">
        <v>52</v>
      </c>
      <c r="H690" t="s">
        <v>52</v>
      </c>
      <c r="I690" t="s">
        <v>52</v>
      </c>
      <c r="J690" t="s">
        <v>590</v>
      </c>
      <c r="K690" t="s">
        <v>52</v>
      </c>
      <c r="L690" t="s">
        <v>661</v>
      </c>
      <c r="M690" t="s">
        <v>654</v>
      </c>
      <c r="N690" t="s">
        <v>163</v>
      </c>
      <c r="O690" t="s">
        <v>143</v>
      </c>
      <c r="P690" t="s">
        <v>143</v>
      </c>
      <c r="Q690" t="s">
        <v>51</v>
      </c>
      <c r="R690" t="s">
        <v>51</v>
      </c>
      <c r="S690" t="s">
        <v>51</v>
      </c>
      <c r="T690" t="s">
        <v>51</v>
      </c>
    </row>
    <row r="691" spans="1:20">
      <c r="A691" t="s">
        <v>617</v>
      </c>
      <c r="B691" t="s">
        <v>87</v>
      </c>
      <c r="C691" t="s">
        <v>49</v>
      </c>
      <c r="D691" t="s">
        <v>51</v>
      </c>
      <c r="E691" t="s">
        <v>51</v>
      </c>
      <c r="F691" t="s">
        <v>51</v>
      </c>
      <c r="G691" t="s">
        <v>52</v>
      </c>
      <c r="H691" t="s">
        <v>52</v>
      </c>
      <c r="I691" t="s">
        <v>52</v>
      </c>
      <c r="J691" t="s">
        <v>590</v>
      </c>
      <c r="K691" t="s">
        <v>52</v>
      </c>
      <c r="L691" t="s">
        <v>661</v>
      </c>
      <c r="M691" t="s">
        <v>654</v>
      </c>
      <c r="N691" t="s">
        <v>163</v>
      </c>
      <c r="O691" t="s">
        <v>143</v>
      </c>
      <c r="P691" t="s">
        <v>143</v>
      </c>
      <c r="Q691" t="s">
        <v>51</v>
      </c>
      <c r="R691" t="s">
        <v>51</v>
      </c>
      <c r="S691" t="s">
        <v>51</v>
      </c>
      <c r="T691" t="s">
        <v>51</v>
      </c>
    </row>
    <row r="692" spans="1:20">
      <c r="A692" t="s">
        <v>618</v>
      </c>
      <c r="B692" t="s">
        <v>89</v>
      </c>
      <c r="C692" t="s">
        <v>49</v>
      </c>
      <c r="D692" t="s">
        <v>51</v>
      </c>
      <c r="E692" t="s">
        <v>51</v>
      </c>
      <c r="F692" t="s">
        <v>51</v>
      </c>
      <c r="G692" t="s">
        <v>52</v>
      </c>
      <c r="H692" t="s">
        <v>52</v>
      </c>
      <c r="I692" t="s">
        <v>52</v>
      </c>
      <c r="J692" t="s">
        <v>590</v>
      </c>
      <c r="K692" t="s">
        <v>52</v>
      </c>
      <c r="L692" t="s">
        <v>661</v>
      </c>
      <c r="M692" t="s">
        <v>654</v>
      </c>
      <c r="N692" t="s">
        <v>163</v>
      </c>
      <c r="O692" t="s">
        <v>143</v>
      </c>
      <c r="P692" t="s">
        <v>143</v>
      </c>
      <c r="Q692" t="s">
        <v>51</v>
      </c>
      <c r="R692" t="s">
        <v>51</v>
      </c>
      <c r="S692" t="s">
        <v>51</v>
      </c>
      <c r="T692" t="s">
        <v>51</v>
      </c>
    </row>
    <row r="693" spans="1:20">
      <c r="A693" t="s">
        <v>619</v>
      </c>
      <c r="B693" t="s">
        <v>91</v>
      </c>
      <c r="C693" t="s">
        <v>49</v>
      </c>
      <c r="D693" t="s">
        <v>51</v>
      </c>
      <c r="E693" t="s">
        <v>51</v>
      </c>
      <c r="F693" t="s">
        <v>51</v>
      </c>
      <c r="G693" t="s">
        <v>52</v>
      </c>
      <c r="H693" t="s">
        <v>52</v>
      </c>
      <c r="I693" t="s">
        <v>52</v>
      </c>
      <c r="J693" t="s">
        <v>590</v>
      </c>
      <c r="K693" t="s">
        <v>52</v>
      </c>
      <c r="L693" t="s">
        <v>661</v>
      </c>
      <c r="M693" t="s">
        <v>654</v>
      </c>
      <c r="N693" t="s">
        <v>163</v>
      </c>
      <c r="O693" t="s">
        <v>143</v>
      </c>
      <c r="P693" t="s">
        <v>143</v>
      </c>
      <c r="Q693" t="s">
        <v>51</v>
      </c>
      <c r="R693" t="s">
        <v>51</v>
      </c>
      <c r="S693" t="s">
        <v>51</v>
      </c>
      <c r="T693" t="s">
        <v>51</v>
      </c>
    </row>
    <row r="694" spans="1:20">
      <c r="A694" t="s">
        <v>620</v>
      </c>
      <c r="B694" t="s">
        <v>93</v>
      </c>
      <c r="C694" t="s">
        <v>49</v>
      </c>
      <c r="D694" t="s">
        <v>51</v>
      </c>
      <c r="E694" t="s">
        <v>51</v>
      </c>
      <c r="F694" t="s">
        <v>51</v>
      </c>
      <c r="G694" t="s">
        <v>52</v>
      </c>
      <c r="H694" t="s">
        <v>52</v>
      </c>
      <c r="I694" t="s">
        <v>52</v>
      </c>
      <c r="J694" t="s">
        <v>590</v>
      </c>
      <c r="K694" t="s">
        <v>52</v>
      </c>
      <c r="L694" t="s">
        <v>661</v>
      </c>
      <c r="M694" t="s">
        <v>654</v>
      </c>
      <c r="N694" t="s">
        <v>163</v>
      </c>
      <c r="O694" t="s">
        <v>143</v>
      </c>
      <c r="P694" t="s">
        <v>143</v>
      </c>
      <c r="Q694" t="s">
        <v>51</v>
      </c>
      <c r="R694" t="s">
        <v>51</v>
      </c>
      <c r="S694" t="s">
        <v>51</v>
      </c>
      <c r="T694" t="s">
        <v>51</v>
      </c>
    </row>
    <row r="695" spans="1:20">
      <c r="A695" t="s">
        <v>621</v>
      </c>
      <c r="B695" t="s">
        <v>95</v>
      </c>
      <c r="C695" t="s">
        <v>49</v>
      </c>
      <c r="D695" t="s">
        <v>51</v>
      </c>
      <c r="E695" t="s">
        <v>51</v>
      </c>
      <c r="F695" t="s">
        <v>51</v>
      </c>
      <c r="G695" t="s">
        <v>52</v>
      </c>
      <c r="H695" t="s">
        <v>52</v>
      </c>
      <c r="I695" t="s">
        <v>52</v>
      </c>
      <c r="J695" t="s">
        <v>590</v>
      </c>
      <c r="K695" t="s">
        <v>52</v>
      </c>
      <c r="L695" t="s">
        <v>661</v>
      </c>
      <c r="M695" t="s">
        <v>654</v>
      </c>
      <c r="N695" t="s">
        <v>163</v>
      </c>
      <c r="O695" t="s">
        <v>143</v>
      </c>
      <c r="P695" t="s">
        <v>143</v>
      </c>
      <c r="Q695" t="s">
        <v>51</v>
      </c>
      <c r="R695" t="s">
        <v>51</v>
      </c>
      <c r="S695" t="s">
        <v>51</v>
      </c>
      <c r="T695" t="s">
        <v>51</v>
      </c>
    </row>
    <row r="696" spans="1:20">
      <c r="A696" t="s">
        <v>622</v>
      </c>
      <c r="B696" t="s">
        <v>97</v>
      </c>
      <c r="C696" t="s">
        <v>49</v>
      </c>
      <c r="D696" t="s">
        <v>51</v>
      </c>
      <c r="E696" t="s">
        <v>51</v>
      </c>
      <c r="F696" t="s">
        <v>51</v>
      </c>
      <c r="G696" t="s">
        <v>52</v>
      </c>
      <c r="H696" t="s">
        <v>52</v>
      </c>
      <c r="I696" t="s">
        <v>52</v>
      </c>
      <c r="J696" t="s">
        <v>590</v>
      </c>
      <c r="K696" t="s">
        <v>52</v>
      </c>
      <c r="L696" t="s">
        <v>661</v>
      </c>
      <c r="M696" t="s">
        <v>654</v>
      </c>
      <c r="N696" t="s">
        <v>163</v>
      </c>
      <c r="O696" t="s">
        <v>143</v>
      </c>
      <c r="P696" t="s">
        <v>143</v>
      </c>
      <c r="Q696" t="s">
        <v>51</v>
      </c>
      <c r="R696" t="s">
        <v>51</v>
      </c>
      <c r="S696" t="s">
        <v>51</v>
      </c>
      <c r="T696" t="s">
        <v>51</v>
      </c>
    </row>
    <row r="697" spans="1:20">
      <c r="A697" t="s">
        <v>623</v>
      </c>
      <c r="B697" t="s">
        <v>99</v>
      </c>
      <c r="C697" t="s">
        <v>49</v>
      </c>
      <c r="D697" t="s">
        <v>51</v>
      </c>
      <c r="E697" t="s">
        <v>51</v>
      </c>
      <c r="F697" t="s">
        <v>51</v>
      </c>
      <c r="G697" t="s">
        <v>52</v>
      </c>
      <c r="H697" t="s">
        <v>52</v>
      </c>
      <c r="I697" t="s">
        <v>52</v>
      </c>
      <c r="J697" t="s">
        <v>590</v>
      </c>
      <c r="K697" t="s">
        <v>52</v>
      </c>
      <c r="L697" t="s">
        <v>661</v>
      </c>
      <c r="M697" t="s">
        <v>654</v>
      </c>
      <c r="N697" t="s">
        <v>163</v>
      </c>
      <c r="O697" t="s">
        <v>143</v>
      </c>
      <c r="P697" t="s">
        <v>143</v>
      </c>
      <c r="Q697" t="s">
        <v>51</v>
      </c>
      <c r="R697" t="s">
        <v>51</v>
      </c>
      <c r="S697" t="s">
        <v>51</v>
      </c>
      <c r="T697" t="s">
        <v>51</v>
      </c>
    </row>
    <row r="698" spans="1:20">
      <c r="A698" t="s">
        <v>624</v>
      </c>
      <c r="B698" t="s">
        <v>101</v>
      </c>
      <c r="C698" t="s">
        <v>49</v>
      </c>
      <c r="D698" t="s">
        <v>51</v>
      </c>
      <c r="E698" t="s">
        <v>51</v>
      </c>
      <c r="F698" t="s">
        <v>51</v>
      </c>
      <c r="G698" t="s">
        <v>52</v>
      </c>
      <c r="H698" t="s">
        <v>52</v>
      </c>
      <c r="I698" t="s">
        <v>52</v>
      </c>
      <c r="J698" t="s">
        <v>590</v>
      </c>
      <c r="K698" t="s">
        <v>52</v>
      </c>
      <c r="L698" t="s">
        <v>661</v>
      </c>
      <c r="M698" t="s">
        <v>654</v>
      </c>
      <c r="N698" t="s">
        <v>163</v>
      </c>
      <c r="O698" t="s">
        <v>143</v>
      </c>
      <c r="P698" t="s">
        <v>143</v>
      </c>
      <c r="Q698" t="s">
        <v>51</v>
      </c>
      <c r="R698" t="s">
        <v>51</v>
      </c>
      <c r="S698" t="s">
        <v>51</v>
      </c>
      <c r="T698" t="s">
        <v>51</v>
      </c>
    </row>
    <row r="699" spans="1:20">
      <c r="A699" t="s">
        <v>625</v>
      </c>
      <c r="B699" t="s">
        <v>103</v>
      </c>
      <c r="C699" t="s">
        <v>49</v>
      </c>
      <c r="D699" t="s">
        <v>51</v>
      </c>
      <c r="E699" t="s">
        <v>51</v>
      </c>
      <c r="F699" t="s">
        <v>51</v>
      </c>
      <c r="G699" t="s">
        <v>52</v>
      </c>
      <c r="H699" t="s">
        <v>52</v>
      </c>
      <c r="I699" t="s">
        <v>52</v>
      </c>
      <c r="J699" t="s">
        <v>590</v>
      </c>
      <c r="K699" t="s">
        <v>52</v>
      </c>
      <c r="L699" t="s">
        <v>661</v>
      </c>
      <c r="M699" t="s">
        <v>654</v>
      </c>
      <c r="N699" t="s">
        <v>163</v>
      </c>
      <c r="O699" t="s">
        <v>143</v>
      </c>
      <c r="P699" t="s">
        <v>143</v>
      </c>
      <c r="Q699" t="s">
        <v>51</v>
      </c>
      <c r="R699" t="s">
        <v>51</v>
      </c>
      <c r="S699" t="s">
        <v>51</v>
      </c>
      <c r="T699" t="s">
        <v>51</v>
      </c>
    </row>
    <row r="700" spans="1:20">
      <c r="A700" t="s">
        <v>626</v>
      </c>
      <c r="B700" t="s">
        <v>105</v>
      </c>
      <c r="C700" t="s">
        <v>49</v>
      </c>
      <c r="D700" t="s">
        <v>51</v>
      </c>
      <c r="E700" t="s">
        <v>51</v>
      </c>
      <c r="F700" t="s">
        <v>51</v>
      </c>
      <c r="G700" t="s">
        <v>52</v>
      </c>
      <c r="H700" t="s">
        <v>52</v>
      </c>
      <c r="I700" t="s">
        <v>52</v>
      </c>
      <c r="J700" t="s">
        <v>590</v>
      </c>
      <c r="K700" t="s">
        <v>52</v>
      </c>
      <c r="L700" t="s">
        <v>661</v>
      </c>
      <c r="M700" t="s">
        <v>654</v>
      </c>
      <c r="N700" t="s">
        <v>163</v>
      </c>
      <c r="O700" t="s">
        <v>143</v>
      </c>
      <c r="P700" t="s">
        <v>143</v>
      </c>
      <c r="Q700" t="s">
        <v>51</v>
      </c>
      <c r="R700" t="s">
        <v>51</v>
      </c>
      <c r="S700" t="s">
        <v>51</v>
      </c>
      <c r="T700" t="s">
        <v>51</v>
      </c>
    </row>
    <row r="701" spans="1:20">
      <c r="A701" t="s">
        <v>627</v>
      </c>
      <c r="B701" t="s">
        <v>107</v>
      </c>
      <c r="C701" t="s">
        <v>49</v>
      </c>
      <c r="D701" t="s">
        <v>51</v>
      </c>
      <c r="E701" t="s">
        <v>51</v>
      </c>
      <c r="F701" t="s">
        <v>51</v>
      </c>
      <c r="G701" t="s">
        <v>52</v>
      </c>
      <c r="H701" t="s">
        <v>52</v>
      </c>
      <c r="I701" t="s">
        <v>52</v>
      </c>
      <c r="J701" t="s">
        <v>590</v>
      </c>
      <c r="K701" t="s">
        <v>52</v>
      </c>
      <c r="L701" t="s">
        <v>661</v>
      </c>
      <c r="M701" t="s">
        <v>654</v>
      </c>
      <c r="N701" t="s">
        <v>163</v>
      </c>
      <c r="O701" t="s">
        <v>143</v>
      </c>
      <c r="P701" t="s">
        <v>143</v>
      </c>
      <c r="Q701" t="s">
        <v>51</v>
      </c>
      <c r="R701" t="s">
        <v>51</v>
      </c>
      <c r="S701" t="s">
        <v>51</v>
      </c>
      <c r="T701" t="s">
        <v>51</v>
      </c>
    </row>
    <row r="702" spans="1:20">
      <c r="A702" t="s">
        <v>628</v>
      </c>
      <c r="B702" t="s">
        <v>109</v>
      </c>
      <c r="C702" t="s">
        <v>49</v>
      </c>
      <c r="D702" t="s">
        <v>51</v>
      </c>
      <c r="E702" t="s">
        <v>51</v>
      </c>
      <c r="F702" t="s">
        <v>51</v>
      </c>
      <c r="G702" t="s">
        <v>52</v>
      </c>
      <c r="H702" t="s">
        <v>52</v>
      </c>
      <c r="I702" t="s">
        <v>52</v>
      </c>
      <c r="J702" t="s">
        <v>590</v>
      </c>
      <c r="K702" t="s">
        <v>52</v>
      </c>
      <c r="L702" t="s">
        <v>661</v>
      </c>
      <c r="M702" t="s">
        <v>654</v>
      </c>
      <c r="N702" t="s">
        <v>163</v>
      </c>
      <c r="O702" t="s">
        <v>143</v>
      </c>
      <c r="P702" t="s">
        <v>143</v>
      </c>
      <c r="Q702" t="s">
        <v>51</v>
      </c>
      <c r="R702" t="s">
        <v>51</v>
      </c>
      <c r="S702" t="s">
        <v>51</v>
      </c>
      <c r="T702" t="s">
        <v>51</v>
      </c>
    </row>
    <row r="703" spans="1:20">
      <c r="A703" t="s">
        <v>629</v>
      </c>
      <c r="B703" t="s">
        <v>111</v>
      </c>
      <c r="C703" t="s">
        <v>49</v>
      </c>
      <c r="D703" t="s">
        <v>51</v>
      </c>
      <c r="E703" t="s">
        <v>51</v>
      </c>
      <c r="F703" t="s">
        <v>51</v>
      </c>
      <c r="G703" t="s">
        <v>52</v>
      </c>
      <c r="H703" t="s">
        <v>52</v>
      </c>
      <c r="I703" t="s">
        <v>52</v>
      </c>
      <c r="J703" t="s">
        <v>590</v>
      </c>
      <c r="K703" t="s">
        <v>52</v>
      </c>
      <c r="L703" t="s">
        <v>661</v>
      </c>
      <c r="M703" t="s">
        <v>654</v>
      </c>
      <c r="N703" t="s">
        <v>163</v>
      </c>
      <c r="O703" t="s">
        <v>143</v>
      </c>
      <c r="P703" t="s">
        <v>143</v>
      </c>
      <c r="Q703" t="s">
        <v>51</v>
      </c>
      <c r="R703" t="s">
        <v>51</v>
      </c>
      <c r="S703" t="s">
        <v>51</v>
      </c>
      <c r="T703" t="s">
        <v>51</v>
      </c>
    </row>
    <row r="704" spans="1:20">
      <c r="A704" t="s">
        <v>630</v>
      </c>
      <c r="B704" t="s">
        <v>113</v>
      </c>
      <c r="C704" t="s">
        <v>49</v>
      </c>
      <c r="D704" t="s">
        <v>51</v>
      </c>
      <c r="E704" t="s">
        <v>51</v>
      </c>
      <c r="F704" t="s">
        <v>51</v>
      </c>
      <c r="G704" t="s">
        <v>52</v>
      </c>
      <c r="H704" t="s">
        <v>52</v>
      </c>
      <c r="I704" t="s">
        <v>52</v>
      </c>
      <c r="J704" t="s">
        <v>590</v>
      </c>
      <c r="K704" t="s">
        <v>52</v>
      </c>
      <c r="L704" t="s">
        <v>661</v>
      </c>
      <c r="M704" t="s">
        <v>654</v>
      </c>
      <c r="N704" t="s">
        <v>163</v>
      </c>
      <c r="O704" t="s">
        <v>143</v>
      </c>
      <c r="P704" t="s">
        <v>143</v>
      </c>
      <c r="Q704" t="s">
        <v>51</v>
      </c>
      <c r="R704" t="s">
        <v>51</v>
      </c>
      <c r="S704" t="s">
        <v>51</v>
      </c>
      <c r="T704" t="s">
        <v>51</v>
      </c>
    </row>
    <row r="705" spans="1:20">
      <c r="A705" t="s">
        <v>631</v>
      </c>
      <c r="B705" t="s">
        <v>115</v>
      </c>
      <c r="C705" t="s">
        <v>49</v>
      </c>
      <c r="D705" t="s">
        <v>51</v>
      </c>
      <c r="E705" t="s">
        <v>51</v>
      </c>
      <c r="F705" t="s">
        <v>51</v>
      </c>
      <c r="G705" t="s">
        <v>52</v>
      </c>
      <c r="H705" t="s">
        <v>52</v>
      </c>
      <c r="I705" t="s">
        <v>52</v>
      </c>
      <c r="J705" t="s">
        <v>590</v>
      </c>
      <c r="K705" t="s">
        <v>52</v>
      </c>
      <c r="L705" t="s">
        <v>661</v>
      </c>
      <c r="M705" t="s">
        <v>654</v>
      </c>
      <c r="N705" t="s">
        <v>163</v>
      </c>
      <c r="O705" t="s">
        <v>143</v>
      </c>
      <c r="P705" t="s">
        <v>143</v>
      </c>
      <c r="Q705" t="s">
        <v>51</v>
      </c>
      <c r="R705" t="s">
        <v>51</v>
      </c>
      <c r="S705" t="s">
        <v>51</v>
      </c>
      <c r="T705" t="s">
        <v>51</v>
      </c>
    </row>
    <row r="706" spans="1:20">
      <c r="A706" t="s">
        <v>632</v>
      </c>
      <c r="B706" t="s">
        <v>117</v>
      </c>
      <c r="C706" t="s">
        <v>49</v>
      </c>
      <c r="D706" t="s">
        <v>51</v>
      </c>
      <c r="E706" t="s">
        <v>51</v>
      </c>
      <c r="F706" t="s">
        <v>51</v>
      </c>
      <c r="G706" t="s">
        <v>52</v>
      </c>
      <c r="H706" t="s">
        <v>52</v>
      </c>
      <c r="I706" t="s">
        <v>52</v>
      </c>
      <c r="J706" t="s">
        <v>590</v>
      </c>
      <c r="K706" t="s">
        <v>52</v>
      </c>
      <c r="L706" t="s">
        <v>661</v>
      </c>
      <c r="M706" t="s">
        <v>654</v>
      </c>
      <c r="N706" t="s">
        <v>163</v>
      </c>
      <c r="O706" t="s">
        <v>143</v>
      </c>
      <c r="P706" t="s">
        <v>143</v>
      </c>
      <c r="Q706" t="s">
        <v>51</v>
      </c>
      <c r="R706" t="s">
        <v>51</v>
      </c>
      <c r="S706" t="s">
        <v>51</v>
      </c>
      <c r="T706" t="s">
        <v>51</v>
      </c>
    </row>
    <row r="707" spans="1:20">
      <c r="A707" t="s">
        <v>633</v>
      </c>
      <c r="B707" t="s">
        <v>119</v>
      </c>
      <c r="C707" t="s">
        <v>49</v>
      </c>
      <c r="D707" t="s">
        <v>51</v>
      </c>
      <c r="E707" t="s">
        <v>51</v>
      </c>
      <c r="F707" t="s">
        <v>51</v>
      </c>
      <c r="G707" t="s">
        <v>52</v>
      </c>
      <c r="H707" t="s">
        <v>52</v>
      </c>
      <c r="I707" t="s">
        <v>52</v>
      </c>
      <c r="J707" t="s">
        <v>590</v>
      </c>
      <c r="K707" t="s">
        <v>52</v>
      </c>
      <c r="L707" t="s">
        <v>661</v>
      </c>
      <c r="M707" t="s">
        <v>654</v>
      </c>
      <c r="N707" t="s">
        <v>163</v>
      </c>
      <c r="O707" t="s">
        <v>143</v>
      </c>
      <c r="P707" t="s">
        <v>143</v>
      </c>
      <c r="Q707" t="s">
        <v>51</v>
      </c>
      <c r="R707" t="s">
        <v>51</v>
      </c>
      <c r="S707" t="s">
        <v>51</v>
      </c>
      <c r="T707" t="s">
        <v>51</v>
      </c>
    </row>
    <row r="708" spans="1:20">
      <c r="A708" t="s">
        <v>634</v>
      </c>
      <c r="B708" t="s">
        <v>121</v>
      </c>
      <c r="C708" t="s">
        <v>49</v>
      </c>
      <c r="D708" t="s">
        <v>51</v>
      </c>
      <c r="E708" t="s">
        <v>51</v>
      </c>
      <c r="F708" t="s">
        <v>51</v>
      </c>
      <c r="G708" t="s">
        <v>52</v>
      </c>
      <c r="H708" t="s">
        <v>52</v>
      </c>
      <c r="I708" t="s">
        <v>52</v>
      </c>
      <c r="J708" t="s">
        <v>590</v>
      </c>
      <c r="K708" t="s">
        <v>52</v>
      </c>
      <c r="L708" t="s">
        <v>661</v>
      </c>
      <c r="M708" t="s">
        <v>654</v>
      </c>
      <c r="N708" t="s">
        <v>163</v>
      </c>
      <c r="O708" t="s">
        <v>143</v>
      </c>
      <c r="P708" t="s">
        <v>143</v>
      </c>
      <c r="Q708" t="s">
        <v>51</v>
      </c>
      <c r="R708" t="s">
        <v>51</v>
      </c>
      <c r="S708" t="s">
        <v>51</v>
      </c>
      <c r="T708" t="s">
        <v>51</v>
      </c>
    </row>
    <row r="709" spans="1:20">
      <c r="A709" t="s">
        <v>635</v>
      </c>
      <c r="B709" t="s">
        <v>123</v>
      </c>
      <c r="C709" t="s">
        <v>49</v>
      </c>
      <c r="D709" t="s">
        <v>51</v>
      </c>
      <c r="E709" t="s">
        <v>51</v>
      </c>
      <c r="F709" t="s">
        <v>51</v>
      </c>
      <c r="G709" t="s">
        <v>52</v>
      </c>
      <c r="H709" t="s">
        <v>52</v>
      </c>
      <c r="I709" t="s">
        <v>52</v>
      </c>
      <c r="J709" t="s">
        <v>590</v>
      </c>
      <c r="K709" t="s">
        <v>52</v>
      </c>
      <c r="L709" t="s">
        <v>661</v>
      </c>
      <c r="M709" t="s">
        <v>654</v>
      </c>
      <c r="N709" t="s">
        <v>163</v>
      </c>
      <c r="O709" t="s">
        <v>143</v>
      </c>
      <c r="P709" t="s">
        <v>143</v>
      </c>
      <c r="Q709" t="s">
        <v>51</v>
      </c>
      <c r="R709" t="s">
        <v>51</v>
      </c>
      <c r="S709" t="s">
        <v>51</v>
      </c>
      <c r="T709" t="s">
        <v>51</v>
      </c>
    </row>
    <row r="710" spans="1:20">
      <c r="A710" t="s">
        <v>636</v>
      </c>
      <c r="B710" t="s">
        <v>125</v>
      </c>
      <c r="C710" t="s">
        <v>49</v>
      </c>
      <c r="D710" t="s">
        <v>51</v>
      </c>
      <c r="E710" t="s">
        <v>51</v>
      </c>
      <c r="F710" t="s">
        <v>51</v>
      </c>
      <c r="G710" t="s">
        <v>52</v>
      </c>
      <c r="H710" t="s">
        <v>52</v>
      </c>
      <c r="I710" t="s">
        <v>52</v>
      </c>
      <c r="J710" t="s">
        <v>590</v>
      </c>
      <c r="K710" t="s">
        <v>52</v>
      </c>
      <c r="L710" t="s">
        <v>661</v>
      </c>
      <c r="M710" t="s">
        <v>654</v>
      </c>
      <c r="N710" t="s">
        <v>163</v>
      </c>
      <c r="O710" t="s">
        <v>143</v>
      </c>
      <c r="P710" t="s">
        <v>143</v>
      </c>
      <c r="Q710" t="s">
        <v>51</v>
      </c>
      <c r="R710" t="s">
        <v>51</v>
      </c>
      <c r="S710" t="s">
        <v>51</v>
      </c>
      <c r="T710" t="s">
        <v>51</v>
      </c>
    </row>
    <row r="711" spans="1:20">
      <c r="A711" t="s">
        <v>637</v>
      </c>
      <c r="B711" t="s">
        <v>127</v>
      </c>
      <c r="C711" t="s">
        <v>49</v>
      </c>
      <c r="D711" t="s">
        <v>51</v>
      </c>
      <c r="E711" t="s">
        <v>51</v>
      </c>
      <c r="F711" t="s">
        <v>51</v>
      </c>
      <c r="G711" t="s">
        <v>52</v>
      </c>
      <c r="H711" t="s">
        <v>52</v>
      </c>
      <c r="I711" t="s">
        <v>52</v>
      </c>
      <c r="J711" t="s">
        <v>590</v>
      </c>
      <c r="K711" t="s">
        <v>52</v>
      </c>
      <c r="L711" t="s">
        <v>661</v>
      </c>
      <c r="M711" t="s">
        <v>654</v>
      </c>
      <c r="N711" t="s">
        <v>163</v>
      </c>
      <c r="O711" t="s">
        <v>143</v>
      </c>
      <c r="P711" t="s">
        <v>143</v>
      </c>
      <c r="Q711" t="s">
        <v>51</v>
      </c>
      <c r="R711" t="s">
        <v>51</v>
      </c>
      <c r="S711" t="s">
        <v>51</v>
      </c>
      <c r="T711" t="s">
        <v>51</v>
      </c>
    </row>
    <row r="712" spans="1:20">
      <c r="A712" t="s">
        <v>638</v>
      </c>
      <c r="B712" t="s">
        <v>129</v>
      </c>
      <c r="C712" t="s">
        <v>49</v>
      </c>
      <c r="D712" t="s">
        <v>51</v>
      </c>
      <c r="E712" t="s">
        <v>51</v>
      </c>
      <c r="F712" t="s">
        <v>51</v>
      </c>
      <c r="G712" t="s">
        <v>52</v>
      </c>
      <c r="H712" t="s">
        <v>52</v>
      </c>
      <c r="I712" t="s">
        <v>52</v>
      </c>
      <c r="J712" t="s">
        <v>590</v>
      </c>
      <c r="K712" t="s">
        <v>52</v>
      </c>
      <c r="L712" t="s">
        <v>661</v>
      </c>
      <c r="M712" t="s">
        <v>654</v>
      </c>
      <c r="N712" t="s">
        <v>163</v>
      </c>
      <c r="O712" t="s">
        <v>143</v>
      </c>
      <c r="P712" t="s">
        <v>143</v>
      </c>
      <c r="Q712" t="s">
        <v>51</v>
      </c>
      <c r="R712" t="s">
        <v>51</v>
      </c>
      <c r="S712" t="s">
        <v>51</v>
      </c>
      <c r="T712" t="s">
        <v>51</v>
      </c>
    </row>
    <row r="713" spans="1:20">
      <c r="A713" t="s">
        <v>639</v>
      </c>
      <c r="B713" t="s">
        <v>131</v>
      </c>
      <c r="C713" t="s">
        <v>49</v>
      </c>
      <c r="D713" t="s">
        <v>51</v>
      </c>
      <c r="E713" t="s">
        <v>51</v>
      </c>
      <c r="F713" t="s">
        <v>51</v>
      </c>
      <c r="G713" t="s">
        <v>52</v>
      </c>
      <c r="H713" t="s">
        <v>52</v>
      </c>
      <c r="I713" t="s">
        <v>52</v>
      </c>
      <c r="J713" t="s">
        <v>590</v>
      </c>
      <c r="K713" t="s">
        <v>52</v>
      </c>
      <c r="L713" t="s">
        <v>661</v>
      </c>
      <c r="M713" t="s">
        <v>654</v>
      </c>
      <c r="N713" t="s">
        <v>163</v>
      </c>
      <c r="O713" t="s">
        <v>143</v>
      </c>
      <c r="P713" t="s">
        <v>143</v>
      </c>
      <c r="Q713" t="s">
        <v>51</v>
      </c>
      <c r="R713" t="s">
        <v>51</v>
      </c>
      <c r="S713" t="s">
        <v>51</v>
      </c>
      <c r="T713" t="s">
        <v>51</v>
      </c>
    </row>
    <row r="714" spans="1:20">
      <c r="A714" t="s">
        <v>640</v>
      </c>
      <c r="B714" t="s">
        <v>133</v>
      </c>
      <c r="C714" t="s">
        <v>49</v>
      </c>
      <c r="D714" t="s">
        <v>51</v>
      </c>
      <c r="E714" t="s">
        <v>51</v>
      </c>
      <c r="F714" t="s">
        <v>51</v>
      </c>
      <c r="G714" t="s">
        <v>52</v>
      </c>
      <c r="H714" t="s">
        <v>52</v>
      </c>
      <c r="I714" t="s">
        <v>52</v>
      </c>
      <c r="J714" t="s">
        <v>590</v>
      </c>
      <c r="K714" t="s">
        <v>52</v>
      </c>
      <c r="L714" t="s">
        <v>661</v>
      </c>
      <c r="M714" t="s">
        <v>654</v>
      </c>
      <c r="N714" t="s">
        <v>163</v>
      </c>
      <c r="O714" t="s">
        <v>143</v>
      </c>
      <c r="P714" t="s">
        <v>143</v>
      </c>
      <c r="Q714" t="s">
        <v>51</v>
      </c>
      <c r="R714" t="s">
        <v>51</v>
      </c>
      <c r="S714" t="s">
        <v>51</v>
      </c>
      <c r="T714" t="s">
        <v>51</v>
      </c>
    </row>
    <row r="715" spans="1:20">
      <c r="A715" t="s">
        <v>641</v>
      </c>
      <c r="B715" t="s">
        <v>135</v>
      </c>
      <c r="C715" t="s">
        <v>49</v>
      </c>
      <c r="D715" t="s">
        <v>51</v>
      </c>
      <c r="E715" t="s">
        <v>51</v>
      </c>
      <c r="F715" t="s">
        <v>51</v>
      </c>
      <c r="G715" t="s">
        <v>52</v>
      </c>
      <c r="H715" t="s">
        <v>52</v>
      </c>
      <c r="I715" t="s">
        <v>52</v>
      </c>
      <c r="J715" t="s">
        <v>590</v>
      </c>
      <c r="K715" t="s">
        <v>52</v>
      </c>
      <c r="L715" t="s">
        <v>661</v>
      </c>
      <c r="M715" t="s">
        <v>654</v>
      </c>
      <c r="N715" t="s">
        <v>163</v>
      </c>
      <c r="O715" t="s">
        <v>143</v>
      </c>
      <c r="P715" t="s">
        <v>143</v>
      </c>
      <c r="Q715" t="s">
        <v>51</v>
      </c>
      <c r="R715" t="s">
        <v>51</v>
      </c>
      <c r="S715" t="s">
        <v>51</v>
      </c>
      <c r="T715" t="s">
        <v>51</v>
      </c>
    </row>
    <row r="716" spans="1:20">
      <c r="A716" t="s">
        <v>642</v>
      </c>
      <c r="B716" t="s">
        <v>137</v>
      </c>
      <c r="C716" t="s">
        <v>49</v>
      </c>
      <c r="D716" t="s">
        <v>51</v>
      </c>
      <c r="E716" t="s">
        <v>51</v>
      </c>
      <c r="F716" t="s">
        <v>51</v>
      </c>
      <c r="G716" t="s">
        <v>52</v>
      </c>
      <c r="H716" t="s">
        <v>52</v>
      </c>
      <c r="I716" t="s">
        <v>52</v>
      </c>
      <c r="J716" t="s">
        <v>590</v>
      </c>
      <c r="K716" t="s">
        <v>52</v>
      </c>
      <c r="L716" t="s">
        <v>661</v>
      </c>
      <c r="M716" t="s">
        <v>654</v>
      </c>
      <c r="N716" t="s">
        <v>163</v>
      </c>
      <c r="O716" t="s">
        <v>143</v>
      </c>
      <c r="P716" t="s">
        <v>143</v>
      </c>
      <c r="Q716" t="s">
        <v>51</v>
      </c>
      <c r="R716" t="s">
        <v>51</v>
      </c>
      <c r="S716" t="s">
        <v>51</v>
      </c>
      <c r="T716" t="s">
        <v>51</v>
      </c>
    </row>
    <row r="717" spans="1:20">
      <c r="A717" t="s">
        <v>643</v>
      </c>
      <c r="B717" t="s">
        <v>139</v>
      </c>
      <c r="C717" t="s">
        <v>49</v>
      </c>
      <c r="D717" t="s">
        <v>51</v>
      </c>
      <c r="E717" t="s">
        <v>51</v>
      </c>
      <c r="F717" t="s">
        <v>51</v>
      </c>
      <c r="G717" t="s">
        <v>52</v>
      </c>
      <c r="H717" t="s">
        <v>52</v>
      </c>
      <c r="I717" t="s">
        <v>52</v>
      </c>
      <c r="J717" t="s">
        <v>590</v>
      </c>
      <c r="K717" t="s">
        <v>52</v>
      </c>
      <c r="L717" t="s">
        <v>661</v>
      </c>
      <c r="M717" t="s">
        <v>654</v>
      </c>
      <c r="N717" t="s">
        <v>163</v>
      </c>
      <c r="O717" t="s">
        <v>143</v>
      </c>
      <c r="P717" t="s">
        <v>143</v>
      </c>
      <c r="Q717" t="s">
        <v>51</v>
      </c>
      <c r="R717" t="s">
        <v>51</v>
      </c>
      <c r="S717" t="s">
        <v>51</v>
      </c>
      <c r="T717" t="s">
        <v>51</v>
      </c>
    </row>
    <row r="718" spans="1:20">
      <c r="A718" t="s">
        <v>644</v>
      </c>
      <c r="B718" t="s">
        <v>141</v>
      </c>
      <c r="C718" t="s">
        <v>49</v>
      </c>
      <c r="D718" t="s">
        <v>51</v>
      </c>
      <c r="E718" t="s">
        <v>51</v>
      </c>
      <c r="F718" t="s">
        <v>51</v>
      </c>
      <c r="G718" t="s">
        <v>52</v>
      </c>
      <c r="H718" t="s">
        <v>52</v>
      </c>
      <c r="I718" t="s">
        <v>52</v>
      </c>
      <c r="J718" t="s">
        <v>590</v>
      </c>
      <c r="K718" t="s">
        <v>52</v>
      </c>
      <c r="L718" t="s">
        <v>661</v>
      </c>
      <c r="M718" t="s">
        <v>654</v>
      </c>
      <c r="N718" t="s">
        <v>163</v>
      </c>
      <c r="O718" t="s">
        <v>143</v>
      </c>
      <c r="P718" t="s">
        <v>143</v>
      </c>
      <c r="Q718" t="s">
        <v>51</v>
      </c>
      <c r="R718" t="s">
        <v>51</v>
      </c>
      <c r="S718" t="s">
        <v>51</v>
      </c>
      <c r="T718" t="s">
        <v>51</v>
      </c>
    </row>
    <row r="719" spans="1:20">
      <c r="A719" t="s">
        <v>645</v>
      </c>
      <c r="B719" t="s">
        <v>143</v>
      </c>
      <c r="C719" t="s">
        <v>49</v>
      </c>
      <c r="D719" t="s">
        <v>51</v>
      </c>
      <c r="E719" t="s">
        <v>51</v>
      </c>
      <c r="F719" t="s">
        <v>51</v>
      </c>
      <c r="G719" t="s">
        <v>52</v>
      </c>
      <c r="H719" t="s">
        <v>52</v>
      </c>
      <c r="I719" t="s">
        <v>52</v>
      </c>
      <c r="J719" t="s">
        <v>590</v>
      </c>
      <c r="K719" t="s">
        <v>52</v>
      </c>
      <c r="L719" t="s">
        <v>661</v>
      </c>
      <c r="M719" t="s">
        <v>654</v>
      </c>
      <c r="N719" t="s">
        <v>163</v>
      </c>
      <c r="O719" t="s">
        <v>143</v>
      </c>
      <c r="P719" t="s">
        <v>143</v>
      </c>
      <c r="Q719" t="s">
        <v>51</v>
      </c>
      <c r="R719" t="s">
        <v>51</v>
      </c>
      <c r="S719" t="s">
        <v>51</v>
      </c>
      <c r="T719" t="s">
        <v>51</v>
      </c>
    </row>
    <row r="720" spans="1:20">
      <c r="A720" t="s">
        <v>646</v>
      </c>
      <c r="B720" t="s">
        <v>145</v>
      </c>
      <c r="C720" t="s">
        <v>49</v>
      </c>
      <c r="D720" t="s">
        <v>51</v>
      </c>
      <c r="E720" t="s">
        <v>51</v>
      </c>
      <c r="F720" t="s">
        <v>51</v>
      </c>
      <c r="G720" t="s">
        <v>52</v>
      </c>
      <c r="H720" t="s">
        <v>52</v>
      </c>
      <c r="I720" t="s">
        <v>52</v>
      </c>
      <c r="J720" t="s">
        <v>590</v>
      </c>
      <c r="K720" t="s">
        <v>52</v>
      </c>
      <c r="L720" t="s">
        <v>661</v>
      </c>
      <c r="M720" t="s">
        <v>654</v>
      </c>
      <c r="N720" t="s">
        <v>163</v>
      </c>
      <c r="O720" t="s">
        <v>143</v>
      </c>
      <c r="P720" t="s">
        <v>143</v>
      </c>
      <c r="Q720" t="s">
        <v>51</v>
      </c>
      <c r="R720" t="s">
        <v>51</v>
      </c>
      <c r="S720" t="s">
        <v>51</v>
      </c>
      <c r="T720" t="s">
        <v>51</v>
      </c>
    </row>
    <row r="721" spans="1:20">
      <c r="A721" t="s">
        <v>647</v>
      </c>
      <c r="B721" t="s">
        <v>147</v>
      </c>
      <c r="C721" t="s">
        <v>49</v>
      </c>
      <c r="D721" t="s">
        <v>51</v>
      </c>
      <c r="E721" t="s">
        <v>51</v>
      </c>
      <c r="F721" t="s">
        <v>51</v>
      </c>
      <c r="G721" t="s">
        <v>52</v>
      </c>
      <c r="H721" t="s">
        <v>52</v>
      </c>
      <c r="I721" t="s">
        <v>52</v>
      </c>
      <c r="J721" t="s">
        <v>590</v>
      </c>
      <c r="K721" t="s">
        <v>52</v>
      </c>
      <c r="L721" t="s">
        <v>661</v>
      </c>
      <c r="M721" t="s">
        <v>654</v>
      </c>
      <c r="N721" t="s">
        <v>163</v>
      </c>
      <c r="O721" t="s">
        <v>143</v>
      </c>
      <c r="P721" t="s">
        <v>143</v>
      </c>
      <c r="Q721" t="s">
        <v>51</v>
      </c>
      <c r="R721" t="s">
        <v>51</v>
      </c>
      <c r="S721" t="s">
        <v>51</v>
      </c>
      <c r="T721" t="s">
        <v>51</v>
      </c>
    </row>
    <row r="722" spans="1:20">
      <c r="A722" t="s">
        <v>648</v>
      </c>
      <c r="B722" t="s">
        <v>149</v>
      </c>
      <c r="C722" t="s">
        <v>49</v>
      </c>
      <c r="D722" t="s">
        <v>51</v>
      </c>
      <c r="E722" t="s">
        <v>51</v>
      </c>
      <c r="F722" t="s">
        <v>51</v>
      </c>
      <c r="G722" t="s">
        <v>52</v>
      </c>
      <c r="H722" t="s">
        <v>52</v>
      </c>
      <c r="I722" t="s">
        <v>52</v>
      </c>
      <c r="J722" t="s">
        <v>590</v>
      </c>
      <c r="K722" t="s">
        <v>52</v>
      </c>
      <c r="L722" t="s">
        <v>661</v>
      </c>
      <c r="M722" t="s">
        <v>654</v>
      </c>
      <c r="N722" t="s">
        <v>163</v>
      </c>
      <c r="O722" t="s">
        <v>143</v>
      </c>
      <c r="P722" t="s">
        <v>143</v>
      </c>
      <c r="Q722" t="s">
        <v>51</v>
      </c>
      <c r="R722" t="s">
        <v>51</v>
      </c>
      <c r="S722" t="s">
        <v>51</v>
      </c>
      <c r="T722" t="s">
        <v>51</v>
      </c>
    </row>
    <row r="723" spans="1:20">
      <c r="A723" t="s">
        <v>649</v>
      </c>
      <c r="B723" t="s">
        <v>151</v>
      </c>
      <c r="C723" t="s">
        <v>49</v>
      </c>
      <c r="D723" t="s">
        <v>51</v>
      </c>
      <c r="E723" t="s">
        <v>51</v>
      </c>
      <c r="F723" t="s">
        <v>51</v>
      </c>
      <c r="G723" t="s">
        <v>52</v>
      </c>
      <c r="H723" t="s">
        <v>52</v>
      </c>
      <c r="I723" t="s">
        <v>52</v>
      </c>
      <c r="J723" t="s">
        <v>590</v>
      </c>
      <c r="K723" t="s">
        <v>52</v>
      </c>
      <c r="L723" t="s">
        <v>661</v>
      </c>
      <c r="M723" t="s">
        <v>654</v>
      </c>
      <c r="N723" t="s">
        <v>163</v>
      </c>
      <c r="O723" t="s">
        <v>143</v>
      </c>
      <c r="P723" t="s">
        <v>143</v>
      </c>
      <c r="Q723" t="s">
        <v>51</v>
      </c>
      <c r="R723" t="s">
        <v>51</v>
      </c>
      <c r="S723" t="s">
        <v>51</v>
      </c>
      <c r="T723" t="s">
        <v>51</v>
      </c>
    </row>
    <row r="724" spans="1:20">
      <c r="A724" t="s">
        <v>650</v>
      </c>
      <c r="B724" t="s">
        <v>153</v>
      </c>
      <c r="C724" t="s">
        <v>49</v>
      </c>
      <c r="D724" t="s">
        <v>51</v>
      </c>
      <c r="E724" t="s">
        <v>51</v>
      </c>
      <c r="F724" t="s">
        <v>51</v>
      </c>
      <c r="G724" t="s">
        <v>52</v>
      </c>
      <c r="H724" t="s">
        <v>52</v>
      </c>
      <c r="I724" t="s">
        <v>52</v>
      </c>
      <c r="J724" t="s">
        <v>590</v>
      </c>
      <c r="K724" t="s">
        <v>52</v>
      </c>
      <c r="L724" t="s">
        <v>661</v>
      </c>
      <c r="M724" t="s">
        <v>654</v>
      </c>
      <c r="N724" t="s">
        <v>163</v>
      </c>
      <c r="O724" t="s">
        <v>143</v>
      </c>
      <c r="P724" t="s">
        <v>143</v>
      </c>
      <c r="Q724" t="s">
        <v>51</v>
      </c>
      <c r="R724" t="s">
        <v>51</v>
      </c>
      <c r="S724" t="s">
        <v>51</v>
      </c>
      <c r="T724" t="s">
        <v>51</v>
      </c>
    </row>
    <row r="725" spans="1:20">
      <c r="A725" t="s">
        <v>588</v>
      </c>
      <c r="B725" t="s">
        <v>589</v>
      </c>
      <c r="C725" t="s">
        <v>165</v>
      </c>
      <c r="D725" t="s">
        <v>50</v>
      </c>
      <c r="E725" t="s">
        <v>51</v>
      </c>
      <c r="F725" t="s">
        <v>51</v>
      </c>
      <c r="G725" t="s">
        <v>52</v>
      </c>
      <c r="H725" t="s">
        <v>52</v>
      </c>
      <c r="I725" t="s">
        <v>52</v>
      </c>
      <c r="J725" t="s">
        <v>52</v>
      </c>
      <c r="K725" t="s">
        <v>52</v>
      </c>
      <c r="L725" t="s">
        <v>662</v>
      </c>
      <c r="M725" t="s">
        <v>654</v>
      </c>
      <c r="N725" t="s">
        <v>163</v>
      </c>
      <c r="O725" t="s">
        <v>145</v>
      </c>
      <c r="P725" t="s">
        <v>145</v>
      </c>
      <c r="Q725" t="s">
        <v>51</v>
      </c>
      <c r="R725" t="s">
        <v>51</v>
      </c>
      <c r="S725" t="s">
        <v>51</v>
      </c>
      <c r="T725" t="s">
        <v>51</v>
      </c>
    </row>
    <row r="726" spans="1:20">
      <c r="A726" t="s">
        <v>609</v>
      </c>
      <c r="B726" t="s">
        <v>71</v>
      </c>
      <c r="C726" t="s">
        <v>49</v>
      </c>
      <c r="D726" t="s">
        <v>51</v>
      </c>
      <c r="E726" t="s">
        <v>51</v>
      </c>
      <c r="F726" t="s">
        <v>51</v>
      </c>
      <c r="G726" t="s">
        <v>52</v>
      </c>
      <c r="H726" t="s">
        <v>52</v>
      </c>
      <c r="I726" t="s">
        <v>52</v>
      </c>
      <c r="J726" t="s">
        <v>590</v>
      </c>
      <c r="K726" t="s">
        <v>52</v>
      </c>
      <c r="L726" t="s">
        <v>662</v>
      </c>
      <c r="M726" t="s">
        <v>654</v>
      </c>
      <c r="N726" t="s">
        <v>163</v>
      </c>
      <c r="O726" t="s">
        <v>145</v>
      </c>
      <c r="P726" t="s">
        <v>145</v>
      </c>
      <c r="Q726" t="s">
        <v>51</v>
      </c>
      <c r="R726" t="s">
        <v>51</v>
      </c>
      <c r="S726" t="s">
        <v>51</v>
      </c>
      <c r="T726" t="s">
        <v>51</v>
      </c>
    </row>
    <row r="727" spans="1:20">
      <c r="A727" t="s">
        <v>610</v>
      </c>
      <c r="B727" t="s">
        <v>73</v>
      </c>
      <c r="C727" t="s">
        <v>49</v>
      </c>
      <c r="D727" t="s">
        <v>51</v>
      </c>
      <c r="E727" t="s">
        <v>51</v>
      </c>
      <c r="F727" t="s">
        <v>51</v>
      </c>
      <c r="G727" t="s">
        <v>52</v>
      </c>
      <c r="H727" t="s">
        <v>52</v>
      </c>
      <c r="I727" t="s">
        <v>52</v>
      </c>
      <c r="J727" t="s">
        <v>590</v>
      </c>
      <c r="K727" t="s">
        <v>52</v>
      </c>
      <c r="L727" t="s">
        <v>662</v>
      </c>
      <c r="M727" t="s">
        <v>654</v>
      </c>
      <c r="N727" t="s">
        <v>163</v>
      </c>
      <c r="O727" t="s">
        <v>145</v>
      </c>
      <c r="P727" t="s">
        <v>145</v>
      </c>
      <c r="Q727" t="s">
        <v>51</v>
      </c>
      <c r="R727" t="s">
        <v>51</v>
      </c>
      <c r="S727" t="s">
        <v>51</v>
      </c>
      <c r="T727" t="s">
        <v>51</v>
      </c>
    </row>
    <row r="728" spans="1:20">
      <c r="A728" t="s">
        <v>611</v>
      </c>
      <c r="B728" t="s">
        <v>75</v>
      </c>
      <c r="C728" t="s">
        <v>49</v>
      </c>
      <c r="D728" t="s">
        <v>51</v>
      </c>
      <c r="E728" t="s">
        <v>51</v>
      </c>
      <c r="F728" t="s">
        <v>51</v>
      </c>
      <c r="G728" t="s">
        <v>52</v>
      </c>
      <c r="H728" t="s">
        <v>52</v>
      </c>
      <c r="I728" t="s">
        <v>52</v>
      </c>
      <c r="J728" t="s">
        <v>590</v>
      </c>
      <c r="K728" t="s">
        <v>52</v>
      </c>
      <c r="L728" t="s">
        <v>662</v>
      </c>
      <c r="M728" t="s">
        <v>654</v>
      </c>
      <c r="N728" t="s">
        <v>163</v>
      </c>
      <c r="O728" t="s">
        <v>145</v>
      </c>
      <c r="P728" t="s">
        <v>145</v>
      </c>
      <c r="Q728" t="s">
        <v>51</v>
      </c>
      <c r="R728" t="s">
        <v>51</v>
      </c>
      <c r="S728" t="s">
        <v>51</v>
      </c>
      <c r="T728" t="s">
        <v>51</v>
      </c>
    </row>
    <row r="729" spans="1:20">
      <c r="A729" t="s">
        <v>612</v>
      </c>
      <c r="B729" t="s">
        <v>77</v>
      </c>
      <c r="C729" t="s">
        <v>49</v>
      </c>
      <c r="D729" t="s">
        <v>51</v>
      </c>
      <c r="E729" t="s">
        <v>51</v>
      </c>
      <c r="F729" t="s">
        <v>51</v>
      </c>
      <c r="G729" t="s">
        <v>52</v>
      </c>
      <c r="H729" t="s">
        <v>52</v>
      </c>
      <c r="I729" t="s">
        <v>52</v>
      </c>
      <c r="J729" t="s">
        <v>590</v>
      </c>
      <c r="K729" t="s">
        <v>52</v>
      </c>
      <c r="L729" t="s">
        <v>662</v>
      </c>
      <c r="M729" t="s">
        <v>654</v>
      </c>
      <c r="N729" t="s">
        <v>163</v>
      </c>
      <c r="O729" t="s">
        <v>145</v>
      </c>
      <c r="P729" t="s">
        <v>145</v>
      </c>
      <c r="Q729" t="s">
        <v>51</v>
      </c>
      <c r="R729" t="s">
        <v>51</v>
      </c>
      <c r="S729" t="s">
        <v>51</v>
      </c>
      <c r="T729" t="s">
        <v>51</v>
      </c>
    </row>
    <row r="730" spans="1:20">
      <c r="A730" t="s">
        <v>613</v>
      </c>
      <c r="B730" t="s">
        <v>79</v>
      </c>
      <c r="C730" t="s">
        <v>49</v>
      </c>
      <c r="D730" t="s">
        <v>51</v>
      </c>
      <c r="E730" t="s">
        <v>51</v>
      </c>
      <c r="F730" t="s">
        <v>51</v>
      </c>
      <c r="G730" t="s">
        <v>52</v>
      </c>
      <c r="H730" t="s">
        <v>52</v>
      </c>
      <c r="I730" t="s">
        <v>52</v>
      </c>
      <c r="J730" t="s">
        <v>590</v>
      </c>
      <c r="K730" t="s">
        <v>52</v>
      </c>
      <c r="L730" t="s">
        <v>662</v>
      </c>
      <c r="M730" t="s">
        <v>654</v>
      </c>
      <c r="N730" t="s">
        <v>163</v>
      </c>
      <c r="O730" t="s">
        <v>145</v>
      </c>
      <c r="P730" t="s">
        <v>145</v>
      </c>
      <c r="Q730" t="s">
        <v>51</v>
      </c>
      <c r="R730" t="s">
        <v>51</v>
      </c>
      <c r="S730" t="s">
        <v>51</v>
      </c>
      <c r="T730" t="s">
        <v>51</v>
      </c>
    </row>
    <row r="731" spans="1:20">
      <c r="A731" t="s">
        <v>614</v>
      </c>
      <c r="B731" t="s">
        <v>81</v>
      </c>
      <c r="C731" t="s">
        <v>49</v>
      </c>
      <c r="D731" t="s">
        <v>51</v>
      </c>
      <c r="E731" t="s">
        <v>51</v>
      </c>
      <c r="F731" t="s">
        <v>51</v>
      </c>
      <c r="G731" t="s">
        <v>52</v>
      </c>
      <c r="H731" t="s">
        <v>52</v>
      </c>
      <c r="I731" t="s">
        <v>52</v>
      </c>
      <c r="J731" t="s">
        <v>590</v>
      </c>
      <c r="K731" t="s">
        <v>52</v>
      </c>
      <c r="L731" t="s">
        <v>662</v>
      </c>
      <c r="M731" t="s">
        <v>654</v>
      </c>
      <c r="N731" t="s">
        <v>163</v>
      </c>
      <c r="O731" t="s">
        <v>145</v>
      </c>
      <c r="P731" t="s">
        <v>145</v>
      </c>
      <c r="Q731" t="s">
        <v>51</v>
      </c>
      <c r="R731" t="s">
        <v>51</v>
      </c>
      <c r="S731" t="s">
        <v>51</v>
      </c>
      <c r="T731" t="s">
        <v>51</v>
      </c>
    </row>
    <row r="732" spans="1:20">
      <c r="A732" t="s">
        <v>615</v>
      </c>
      <c r="B732" t="s">
        <v>83</v>
      </c>
      <c r="C732" t="s">
        <v>49</v>
      </c>
      <c r="D732" t="s">
        <v>51</v>
      </c>
      <c r="E732" t="s">
        <v>51</v>
      </c>
      <c r="F732" t="s">
        <v>51</v>
      </c>
      <c r="G732" t="s">
        <v>52</v>
      </c>
      <c r="H732" t="s">
        <v>52</v>
      </c>
      <c r="I732" t="s">
        <v>52</v>
      </c>
      <c r="J732" t="s">
        <v>590</v>
      </c>
      <c r="K732" t="s">
        <v>52</v>
      </c>
      <c r="L732" t="s">
        <v>662</v>
      </c>
      <c r="M732" t="s">
        <v>654</v>
      </c>
      <c r="N732" t="s">
        <v>163</v>
      </c>
      <c r="O732" t="s">
        <v>145</v>
      </c>
      <c r="P732" t="s">
        <v>145</v>
      </c>
      <c r="Q732" t="s">
        <v>51</v>
      </c>
      <c r="R732" t="s">
        <v>51</v>
      </c>
      <c r="S732" t="s">
        <v>51</v>
      </c>
      <c r="T732" t="s">
        <v>51</v>
      </c>
    </row>
    <row r="733" spans="1:20">
      <c r="A733" t="s">
        <v>616</v>
      </c>
      <c r="B733" t="s">
        <v>85</v>
      </c>
      <c r="C733" t="s">
        <v>49</v>
      </c>
      <c r="D733" t="s">
        <v>51</v>
      </c>
      <c r="E733" t="s">
        <v>51</v>
      </c>
      <c r="F733" t="s">
        <v>51</v>
      </c>
      <c r="G733" t="s">
        <v>52</v>
      </c>
      <c r="H733" t="s">
        <v>52</v>
      </c>
      <c r="I733" t="s">
        <v>52</v>
      </c>
      <c r="J733" t="s">
        <v>590</v>
      </c>
      <c r="K733" t="s">
        <v>52</v>
      </c>
      <c r="L733" t="s">
        <v>662</v>
      </c>
      <c r="M733" t="s">
        <v>654</v>
      </c>
      <c r="N733" t="s">
        <v>163</v>
      </c>
      <c r="O733" t="s">
        <v>145</v>
      </c>
      <c r="P733" t="s">
        <v>145</v>
      </c>
      <c r="Q733" t="s">
        <v>51</v>
      </c>
      <c r="R733" t="s">
        <v>51</v>
      </c>
      <c r="S733" t="s">
        <v>51</v>
      </c>
      <c r="T733" t="s">
        <v>51</v>
      </c>
    </row>
    <row r="734" spans="1:20">
      <c r="A734" t="s">
        <v>617</v>
      </c>
      <c r="B734" t="s">
        <v>87</v>
      </c>
      <c r="C734" t="s">
        <v>49</v>
      </c>
      <c r="D734" t="s">
        <v>51</v>
      </c>
      <c r="E734" t="s">
        <v>51</v>
      </c>
      <c r="F734" t="s">
        <v>51</v>
      </c>
      <c r="G734" t="s">
        <v>52</v>
      </c>
      <c r="H734" t="s">
        <v>52</v>
      </c>
      <c r="I734" t="s">
        <v>52</v>
      </c>
      <c r="J734" t="s">
        <v>590</v>
      </c>
      <c r="K734" t="s">
        <v>52</v>
      </c>
      <c r="L734" t="s">
        <v>662</v>
      </c>
      <c r="M734" t="s">
        <v>654</v>
      </c>
      <c r="N734" t="s">
        <v>163</v>
      </c>
      <c r="O734" t="s">
        <v>145</v>
      </c>
      <c r="P734" t="s">
        <v>145</v>
      </c>
      <c r="Q734" t="s">
        <v>51</v>
      </c>
      <c r="R734" t="s">
        <v>51</v>
      </c>
      <c r="S734" t="s">
        <v>51</v>
      </c>
      <c r="T734" t="s">
        <v>51</v>
      </c>
    </row>
    <row r="735" spans="1:20">
      <c r="A735" t="s">
        <v>618</v>
      </c>
      <c r="B735" t="s">
        <v>89</v>
      </c>
      <c r="C735" t="s">
        <v>49</v>
      </c>
      <c r="D735" t="s">
        <v>51</v>
      </c>
      <c r="E735" t="s">
        <v>51</v>
      </c>
      <c r="F735" t="s">
        <v>51</v>
      </c>
      <c r="G735" t="s">
        <v>52</v>
      </c>
      <c r="H735" t="s">
        <v>52</v>
      </c>
      <c r="I735" t="s">
        <v>52</v>
      </c>
      <c r="J735" t="s">
        <v>590</v>
      </c>
      <c r="K735" t="s">
        <v>52</v>
      </c>
      <c r="L735" t="s">
        <v>662</v>
      </c>
      <c r="M735" t="s">
        <v>654</v>
      </c>
      <c r="N735" t="s">
        <v>163</v>
      </c>
      <c r="O735" t="s">
        <v>145</v>
      </c>
      <c r="P735" t="s">
        <v>145</v>
      </c>
      <c r="Q735" t="s">
        <v>51</v>
      </c>
      <c r="R735" t="s">
        <v>51</v>
      </c>
      <c r="S735" t="s">
        <v>51</v>
      </c>
      <c r="T735" t="s">
        <v>51</v>
      </c>
    </row>
    <row r="736" spans="1:20">
      <c r="A736" t="s">
        <v>619</v>
      </c>
      <c r="B736" t="s">
        <v>91</v>
      </c>
      <c r="C736" t="s">
        <v>49</v>
      </c>
      <c r="D736" t="s">
        <v>51</v>
      </c>
      <c r="E736" t="s">
        <v>51</v>
      </c>
      <c r="F736" t="s">
        <v>51</v>
      </c>
      <c r="G736" t="s">
        <v>52</v>
      </c>
      <c r="H736" t="s">
        <v>52</v>
      </c>
      <c r="I736" t="s">
        <v>52</v>
      </c>
      <c r="J736" t="s">
        <v>590</v>
      </c>
      <c r="K736" t="s">
        <v>52</v>
      </c>
      <c r="L736" t="s">
        <v>662</v>
      </c>
      <c r="M736" t="s">
        <v>654</v>
      </c>
      <c r="N736" t="s">
        <v>163</v>
      </c>
      <c r="O736" t="s">
        <v>145</v>
      </c>
      <c r="P736" t="s">
        <v>145</v>
      </c>
      <c r="Q736" t="s">
        <v>51</v>
      </c>
      <c r="R736" t="s">
        <v>51</v>
      </c>
      <c r="S736" t="s">
        <v>51</v>
      </c>
      <c r="T736" t="s">
        <v>51</v>
      </c>
    </row>
    <row r="737" spans="1:20">
      <c r="A737" t="s">
        <v>620</v>
      </c>
      <c r="B737" t="s">
        <v>93</v>
      </c>
      <c r="C737" t="s">
        <v>49</v>
      </c>
      <c r="D737" t="s">
        <v>51</v>
      </c>
      <c r="E737" t="s">
        <v>51</v>
      </c>
      <c r="F737" t="s">
        <v>51</v>
      </c>
      <c r="G737" t="s">
        <v>52</v>
      </c>
      <c r="H737" t="s">
        <v>52</v>
      </c>
      <c r="I737" t="s">
        <v>52</v>
      </c>
      <c r="J737" t="s">
        <v>590</v>
      </c>
      <c r="K737" t="s">
        <v>52</v>
      </c>
      <c r="L737" t="s">
        <v>662</v>
      </c>
      <c r="M737" t="s">
        <v>654</v>
      </c>
      <c r="N737" t="s">
        <v>163</v>
      </c>
      <c r="O737" t="s">
        <v>145</v>
      </c>
      <c r="P737" t="s">
        <v>145</v>
      </c>
      <c r="Q737" t="s">
        <v>51</v>
      </c>
      <c r="R737" t="s">
        <v>51</v>
      </c>
      <c r="S737" t="s">
        <v>51</v>
      </c>
      <c r="T737" t="s">
        <v>51</v>
      </c>
    </row>
    <row r="738" spans="1:20">
      <c r="A738" t="s">
        <v>621</v>
      </c>
      <c r="B738" t="s">
        <v>95</v>
      </c>
      <c r="C738" t="s">
        <v>49</v>
      </c>
      <c r="D738" t="s">
        <v>51</v>
      </c>
      <c r="E738" t="s">
        <v>51</v>
      </c>
      <c r="F738" t="s">
        <v>51</v>
      </c>
      <c r="G738" t="s">
        <v>52</v>
      </c>
      <c r="H738" t="s">
        <v>52</v>
      </c>
      <c r="I738" t="s">
        <v>52</v>
      </c>
      <c r="J738" t="s">
        <v>590</v>
      </c>
      <c r="K738" t="s">
        <v>52</v>
      </c>
      <c r="L738" t="s">
        <v>662</v>
      </c>
      <c r="M738" t="s">
        <v>654</v>
      </c>
      <c r="N738" t="s">
        <v>163</v>
      </c>
      <c r="O738" t="s">
        <v>145</v>
      </c>
      <c r="P738" t="s">
        <v>145</v>
      </c>
      <c r="Q738" t="s">
        <v>51</v>
      </c>
      <c r="R738" t="s">
        <v>51</v>
      </c>
      <c r="S738" t="s">
        <v>51</v>
      </c>
      <c r="T738" t="s">
        <v>51</v>
      </c>
    </row>
    <row r="739" spans="1:20">
      <c r="A739" t="s">
        <v>622</v>
      </c>
      <c r="B739" t="s">
        <v>97</v>
      </c>
      <c r="C739" t="s">
        <v>49</v>
      </c>
      <c r="D739" t="s">
        <v>51</v>
      </c>
      <c r="E739" t="s">
        <v>51</v>
      </c>
      <c r="F739" t="s">
        <v>51</v>
      </c>
      <c r="G739" t="s">
        <v>52</v>
      </c>
      <c r="H739" t="s">
        <v>52</v>
      </c>
      <c r="I739" t="s">
        <v>52</v>
      </c>
      <c r="J739" t="s">
        <v>590</v>
      </c>
      <c r="K739" t="s">
        <v>52</v>
      </c>
      <c r="L739" t="s">
        <v>662</v>
      </c>
      <c r="M739" t="s">
        <v>654</v>
      </c>
      <c r="N739" t="s">
        <v>163</v>
      </c>
      <c r="O739" t="s">
        <v>145</v>
      </c>
      <c r="P739" t="s">
        <v>145</v>
      </c>
      <c r="Q739" t="s">
        <v>51</v>
      </c>
      <c r="R739" t="s">
        <v>51</v>
      </c>
      <c r="S739" t="s">
        <v>51</v>
      </c>
      <c r="T739" t="s">
        <v>51</v>
      </c>
    </row>
    <row r="740" spans="1:20">
      <c r="A740" t="s">
        <v>623</v>
      </c>
      <c r="B740" t="s">
        <v>99</v>
      </c>
      <c r="C740" t="s">
        <v>49</v>
      </c>
      <c r="D740" t="s">
        <v>51</v>
      </c>
      <c r="E740" t="s">
        <v>51</v>
      </c>
      <c r="F740" t="s">
        <v>51</v>
      </c>
      <c r="G740" t="s">
        <v>52</v>
      </c>
      <c r="H740" t="s">
        <v>52</v>
      </c>
      <c r="I740" t="s">
        <v>52</v>
      </c>
      <c r="J740" t="s">
        <v>590</v>
      </c>
      <c r="K740" t="s">
        <v>52</v>
      </c>
      <c r="L740" t="s">
        <v>662</v>
      </c>
      <c r="M740" t="s">
        <v>654</v>
      </c>
      <c r="N740" t="s">
        <v>163</v>
      </c>
      <c r="O740" t="s">
        <v>145</v>
      </c>
      <c r="P740" t="s">
        <v>145</v>
      </c>
      <c r="Q740" t="s">
        <v>51</v>
      </c>
      <c r="R740" t="s">
        <v>51</v>
      </c>
      <c r="S740" t="s">
        <v>51</v>
      </c>
      <c r="T740" t="s">
        <v>51</v>
      </c>
    </row>
    <row r="741" spans="1:20">
      <c r="A741" t="s">
        <v>624</v>
      </c>
      <c r="B741" t="s">
        <v>101</v>
      </c>
      <c r="C741" t="s">
        <v>49</v>
      </c>
      <c r="D741" t="s">
        <v>51</v>
      </c>
      <c r="E741" t="s">
        <v>51</v>
      </c>
      <c r="F741" t="s">
        <v>51</v>
      </c>
      <c r="G741" t="s">
        <v>52</v>
      </c>
      <c r="H741" t="s">
        <v>52</v>
      </c>
      <c r="I741" t="s">
        <v>52</v>
      </c>
      <c r="J741" t="s">
        <v>590</v>
      </c>
      <c r="K741" t="s">
        <v>52</v>
      </c>
      <c r="L741" t="s">
        <v>662</v>
      </c>
      <c r="M741" t="s">
        <v>654</v>
      </c>
      <c r="N741" t="s">
        <v>163</v>
      </c>
      <c r="O741" t="s">
        <v>145</v>
      </c>
      <c r="P741" t="s">
        <v>145</v>
      </c>
      <c r="Q741" t="s">
        <v>51</v>
      </c>
      <c r="R741" t="s">
        <v>51</v>
      </c>
      <c r="S741" t="s">
        <v>51</v>
      </c>
      <c r="T741" t="s">
        <v>51</v>
      </c>
    </row>
    <row r="742" spans="1:20">
      <c r="A742" t="s">
        <v>625</v>
      </c>
      <c r="B742" t="s">
        <v>103</v>
      </c>
      <c r="C742" t="s">
        <v>49</v>
      </c>
      <c r="D742" t="s">
        <v>51</v>
      </c>
      <c r="E742" t="s">
        <v>51</v>
      </c>
      <c r="F742" t="s">
        <v>51</v>
      </c>
      <c r="G742" t="s">
        <v>52</v>
      </c>
      <c r="H742" t="s">
        <v>52</v>
      </c>
      <c r="I742" t="s">
        <v>52</v>
      </c>
      <c r="J742" t="s">
        <v>590</v>
      </c>
      <c r="K742" t="s">
        <v>52</v>
      </c>
      <c r="L742" t="s">
        <v>662</v>
      </c>
      <c r="M742" t="s">
        <v>654</v>
      </c>
      <c r="N742" t="s">
        <v>163</v>
      </c>
      <c r="O742" t="s">
        <v>145</v>
      </c>
      <c r="P742" t="s">
        <v>145</v>
      </c>
      <c r="Q742" t="s">
        <v>51</v>
      </c>
      <c r="R742" t="s">
        <v>51</v>
      </c>
      <c r="S742" t="s">
        <v>51</v>
      </c>
      <c r="T742" t="s">
        <v>51</v>
      </c>
    </row>
    <row r="743" spans="1:20">
      <c r="A743" t="s">
        <v>626</v>
      </c>
      <c r="B743" t="s">
        <v>105</v>
      </c>
      <c r="C743" t="s">
        <v>49</v>
      </c>
      <c r="D743" t="s">
        <v>51</v>
      </c>
      <c r="E743" t="s">
        <v>51</v>
      </c>
      <c r="F743" t="s">
        <v>51</v>
      </c>
      <c r="G743" t="s">
        <v>52</v>
      </c>
      <c r="H743" t="s">
        <v>52</v>
      </c>
      <c r="I743" t="s">
        <v>52</v>
      </c>
      <c r="J743" t="s">
        <v>590</v>
      </c>
      <c r="K743" t="s">
        <v>52</v>
      </c>
      <c r="L743" t="s">
        <v>662</v>
      </c>
      <c r="M743" t="s">
        <v>654</v>
      </c>
      <c r="N743" t="s">
        <v>163</v>
      </c>
      <c r="O743" t="s">
        <v>145</v>
      </c>
      <c r="P743" t="s">
        <v>145</v>
      </c>
      <c r="Q743" t="s">
        <v>51</v>
      </c>
      <c r="R743" t="s">
        <v>51</v>
      </c>
      <c r="S743" t="s">
        <v>51</v>
      </c>
      <c r="T743" t="s">
        <v>51</v>
      </c>
    </row>
    <row r="744" spans="1:20">
      <c r="A744" t="s">
        <v>627</v>
      </c>
      <c r="B744" t="s">
        <v>107</v>
      </c>
      <c r="C744" t="s">
        <v>49</v>
      </c>
      <c r="D744" t="s">
        <v>51</v>
      </c>
      <c r="E744" t="s">
        <v>51</v>
      </c>
      <c r="F744" t="s">
        <v>51</v>
      </c>
      <c r="G744" t="s">
        <v>52</v>
      </c>
      <c r="H744" t="s">
        <v>52</v>
      </c>
      <c r="I744" t="s">
        <v>52</v>
      </c>
      <c r="J744" t="s">
        <v>590</v>
      </c>
      <c r="K744" t="s">
        <v>52</v>
      </c>
      <c r="L744" t="s">
        <v>662</v>
      </c>
      <c r="M744" t="s">
        <v>654</v>
      </c>
      <c r="N744" t="s">
        <v>163</v>
      </c>
      <c r="O744" t="s">
        <v>145</v>
      </c>
      <c r="P744" t="s">
        <v>145</v>
      </c>
      <c r="Q744" t="s">
        <v>51</v>
      </c>
      <c r="R744" t="s">
        <v>51</v>
      </c>
      <c r="S744" t="s">
        <v>51</v>
      </c>
      <c r="T744" t="s">
        <v>51</v>
      </c>
    </row>
    <row r="745" spans="1:20">
      <c r="A745" t="s">
        <v>628</v>
      </c>
      <c r="B745" t="s">
        <v>109</v>
      </c>
      <c r="C745" t="s">
        <v>49</v>
      </c>
      <c r="D745" t="s">
        <v>51</v>
      </c>
      <c r="E745" t="s">
        <v>51</v>
      </c>
      <c r="F745" t="s">
        <v>51</v>
      </c>
      <c r="G745" t="s">
        <v>52</v>
      </c>
      <c r="H745" t="s">
        <v>52</v>
      </c>
      <c r="I745" t="s">
        <v>52</v>
      </c>
      <c r="J745" t="s">
        <v>590</v>
      </c>
      <c r="K745" t="s">
        <v>52</v>
      </c>
      <c r="L745" t="s">
        <v>662</v>
      </c>
      <c r="M745" t="s">
        <v>654</v>
      </c>
      <c r="N745" t="s">
        <v>163</v>
      </c>
      <c r="O745" t="s">
        <v>145</v>
      </c>
      <c r="P745" t="s">
        <v>145</v>
      </c>
      <c r="Q745" t="s">
        <v>51</v>
      </c>
      <c r="R745" t="s">
        <v>51</v>
      </c>
      <c r="S745" t="s">
        <v>51</v>
      </c>
      <c r="T745" t="s">
        <v>51</v>
      </c>
    </row>
    <row r="746" spans="1:20">
      <c r="A746" t="s">
        <v>629</v>
      </c>
      <c r="B746" t="s">
        <v>111</v>
      </c>
      <c r="C746" t="s">
        <v>49</v>
      </c>
      <c r="D746" t="s">
        <v>51</v>
      </c>
      <c r="E746" t="s">
        <v>51</v>
      </c>
      <c r="F746" t="s">
        <v>51</v>
      </c>
      <c r="G746" t="s">
        <v>52</v>
      </c>
      <c r="H746" t="s">
        <v>52</v>
      </c>
      <c r="I746" t="s">
        <v>52</v>
      </c>
      <c r="J746" t="s">
        <v>590</v>
      </c>
      <c r="K746" t="s">
        <v>52</v>
      </c>
      <c r="L746" t="s">
        <v>662</v>
      </c>
      <c r="M746" t="s">
        <v>654</v>
      </c>
      <c r="N746" t="s">
        <v>163</v>
      </c>
      <c r="O746" t="s">
        <v>145</v>
      </c>
      <c r="P746" t="s">
        <v>145</v>
      </c>
      <c r="Q746" t="s">
        <v>51</v>
      </c>
      <c r="R746" t="s">
        <v>51</v>
      </c>
      <c r="S746" t="s">
        <v>51</v>
      </c>
      <c r="T746" t="s">
        <v>51</v>
      </c>
    </row>
    <row r="747" spans="1:20">
      <c r="A747" t="s">
        <v>630</v>
      </c>
      <c r="B747" t="s">
        <v>113</v>
      </c>
      <c r="C747" t="s">
        <v>49</v>
      </c>
      <c r="D747" t="s">
        <v>51</v>
      </c>
      <c r="E747" t="s">
        <v>51</v>
      </c>
      <c r="F747" t="s">
        <v>51</v>
      </c>
      <c r="G747" t="s">
        <v>52</v>
      </c>
      <c r="H747" t="s">
        <v>52</v>
      </c>
      <c r="I747" t="s">
        <v>52</v>
      </c>
      <c r="J747" t="s">
        <v>590</v>
      </c>
      <c r="K747" t="s">
        <v>52</v>
      </c>
      <c r="L747" t="s">
        <v>662</v>
      </c>
      <c r="M747" t="s">
        <v>654</v>
      </c>
      <c r="N747" t="s">
        <v>163</v>
      </c>
      <c r="O747" t="s">
        <v>145</v>
      </c>
      <c r="P747" t="s">
        <v>145</v>
      </c>
      <c r="Q747" t="s">
        <v>51</v>
      </c>
      <c r="R747" t="s">
        <v>51</v>
      </c>
      <c r="S747" t="s">
        <v>51</v>
      </c>
      <c r="T747" t="s">
        <v>51</v>
      </c>
    </row>
    <row r="748" spans="1:20">
      <c r="A748" t="s">
        <v>631</v>
      </c>
      <c r="B748" t="s">
        <v>115</v>
      </c>
      <c r="C748" t="s">
        <v>49</v>
      </c>
      <c r="D748" t="s">
        <v>51</v>
      </c>
      <c r="E748" t="s">
        <v>51</v>
      </c>
      <c r="F748" t="s">
        <v>51</v>
      </c>
      <c r="G748" t="s">
        <v>52</v>
      </c>
      <c r="H748" t="s">
        <v>52</v>
      </c>
      <c r="I748" t="s">
        <v>52</v>
      </c>
      <c r="J748" t="s">
        <v>590</v>
      </c>
      <c r="K748" t="s">
        <v>52</v>
      </c>
      <c r="L748" t="s">
        <v>662</v>
      </c>
      <c r="M748" t="s">
        <v>654</v>
      </c>
      <c r="N748" t="s">
        <v>163</v>
      </c>
      <c r="O748" t="s">
        <v>145</v>
      </c>
      <c r="P748" t="s">
        <v>145</v>
      </c>
      <c r="Q748" t="s">
        <v>51</v>
      </c>
      <c r="R748" t="s">
        <v>51</v>
      </c>
      <c r="S748" t="s">
        <v>51</v>
      </c>
      <c r="T748" t="s">
        <v>51</v>
      </c>
    </row>
    <row r="749" spans="1:20">
      <c r="A749" t="s">
        <v>632</v>
      </c>
      <c r="B749" t="s">
        <v>117</v>
      </c>
      <c r="C749" t="s">
        <v>49</v>
      </c>
      <c r="D749" t="s">
        <v>51</v>
      </c>
      <c r="E749" t="s">
        <v>51</v>
      </c>
      <c r="F749" t="s">
        <v>51</v>
      </c>
      <c r="G749" t="s">
        <v>52</v>
      </c>
      <c r="H749" t="s">
        <v>52</v>
      </c>
      <c r="I749" t="s">
        <v>52</v>
      </c>
      <c r="J749" t="s">
        <v>590</v>
      </c>
      <c r="K749" t="s">
        <v>52</v>
      </c>
      <c r="L749" t="s">
        <v>662</v>
      </c>
      <c r="M749" t="s">
        <v>654</v>
      </c>
      <c r="N749" t="s">
        <v>163</v>
      </c>
      <c r="O749" t="s">
        <v>145</v>
      </c>
      <c r="P749" t="s">
        <v>145</v>
      </c>
      <c r="Q749" t="s">
        <v>51</v>
      </c>
      <c r="R749" t="s">
        <v>51</v>
      </c>
      <c r="S749" t="s">
        <v>51</v>
      </c>
      <c r="T749" t="s">
        <v>51</v>
      </c>
    </row>
    <row r="750" spans="1:20">
      <c r="A750" t="s">
        <v>633</v>
      </c>
      <c r="B750" t="s">
        <v>119</v>
      </c>
      <c r="C750" t="s">
        <v>49</v>
      </c>
      <c r="D750" t="s">
        <v>51</v>
      </c>
      <c r="E750" t="s">
        <v>51</v>
      </c>
      <c r="F750" t="s">
        <v>51</v>
      </c>
      <c r="G750" t="s">
        <v>52</v>
      </c>
      <c r="H750" t="s">
        <v>52</v>
      </c>
      <c r="I750" t="s">
        <v>52</v>
      </c>
      <c r="J750" t="s">
        <v>590</v>
      </c>
      <c r="K750" t="s">
        <v>52</v>
      </c>
      <c r="L750" t="s">
        <v>662</v>
      </c>
      <c r="M750" t="s">
        <v>654</v>
      </c>
      <c r="N750" t="s">
        <v>163</v>
      </c>
      <c r="O750" t="s">
        <v>145</v>
      </c>
      <c r="P750" t="s">
        <v>145</v>
      </c>
      <c r="Q750" t="s">
        <v>51</v>
      </c>
      <c r="R750" t="s">
        <v>51</v>
      </c>
      <c r="S750" t="s">
        <v>51</v>
      </c>
      <c r="T750" t="s">
        <v>51</v>
      </c>
    </row>
    <row r="751" spans="1:20">
      <c r="A751" t="s">
        <v>634</v>
      </c>
      <c r="B751" t="s">
        <v>121</v>
      </c>
      <c r="C751" t="s">
        <v>49</v>
      </c>
      <c r="D751" t="s">
        <v>51</v>
      </c>
      <c r="E751" t="s">
        <v>51</v>
      </c>
      <c r="F751" t="s">
        <v>51</v>
      </c>
      <c r="G751" t="s">
        <v>52</v>
      </c>
      <c r="H751" t="s">
        <v>52</v>
      </c>
      <c r="I751" t="s">
        <v>52</v>
      </c>
      <c r="J751" t="s">
        <v>590</v>
      </c>
      <c r="K751" t="s">
        <v>52</v>
      </c>
      <c r="L751" t="s">
        <v>662</v>
      </c>
      <c r="M751" t="s">
        <v>654</v>
      </c>
      <c r="N751" t="s">
        <v>163</v>
      </c>
      <c r="O751" t="s">
        <v>145</v>
      </c>
      <c r="P751" t="s">
        <v>145</v>
      </c>
      <c r="Q751" t="s">
        <v>51</v>
      </c>
      <c r="R751" t="s">
        <v>51</v>
      </c>
      <c r="S751" t="s">
        <v>51</v>
      </c>
      <c r="T751" t="s">
        <v>51</v>
      </c>
    </row>
    <row r="752" spans="1:20">
      <c r="A752" t="s">
        <v>635</v>
      </c>
      <c r="B752" t="s">
        <v>123</v>
      </c>
      <c r="C752" t="s">
        <v>49</v>
      </c>
      <c r="D752" t="s">
        <v>51</v>
      </c>
      <c r="E752" t="s">
        <v>51</v>
      </c>
      <c r="F752" t="s">
        <v>51</v>
      </c>
      <c r="G752" t="s">
        <v>52</v>
      </c>
      <c r="H752" t="s">
        <v>52</v>
      </c>
      <c r="I752" t="s">
        <v>52</v>
      </c>
      <c r="J752" t="s">
        <v>590</v>
      </c>
      <c r="K752" t="s">
        <v>52</v>
      </c>
      <c r="L752" t="s">
        <v>662</v>
      </c>
      <c r="M752" t="s">
        <v>654</v>
      </c>
      <c r="N752" t="s">
        <v>163</v>
      </c>
      <c r="O752" t="s">
        <v>145</v>
      </c>
      <c r="P752" t="s">
        <v>145</v>
      </c>
      <c r="Q752" t="s">
        <v>51</v>
      </c>
      <c r="R752" t="s">
        <v>51</v>
      </c>
      <c r="S752" t="s">
        <v>51</v>
      </c>
      <c r="T752" t="s">
        <v>51</v>
      </c>
    </row>
    <row r="753" spans="1:20">
      <c r="A753" t="s">
        <v>636</v>
      </c>
      <c r="B753" t="s">
        <v>125</v>
      </c>
      <c r="C753" t="s">
        <v>49</v>
      </c>
      <c r="D753" t="s">
        <v>51</v>
      </c>
      <c r="E753" t="s">
        <v>51</v>
      </c>
      <c r="F753" t="s">
        <v>51</v>
      </c>
      <c r="G753" t="s">
        <v>52</v>
      </c>
      <c r="H753" t="s">
        <v>52</v>
      </c>
      <c r="I753" t="s">
        <v>52</v>
      </c>
      <c r="J753" t="s">
        <v>590</v>
      </c>
      <c r="K753" t="s">
        <v>52</v>
      </c>
      <c r="L753" t="s">
        <v>662</v>
      </c>
      <c r="M753" t="s">
        <v>654</v>
      </c>
      <c r="N753" t="s">
        <v>163</v>
      </c>
      <c r="O753" t="s">
        <v>145</v>
      </c>
      <c r="P753" t="s">
        <v>145</v>
      </c>
      <c r="Q753" t="s">
        <v>51</v>
      </c>
      <c r="R753" t="s">
        <v>51</v>
      </c>
      <c r="S753" t="s">
        <v>51</v>
      </c>
      <c r="T753" t="s">
        <v>51</v>
      </c>
    </row>
    <row r="754" spans="1:20">
      <c r="A754" t="s">
        <v>637</v>
      </c>
      <c r="B754" t="s">
        <v>127</v>
      </c>
      <c r="C754" t="s">
        <v>49</v>
      </c>
      <c r="D754" t="s">
        <v>51</v>
      </c>
      <c r="E754" t="s">
        <v>51</v>
      </c>
      <c r="F754" t="s">
        <v>51</v>
      </c>
      <c r="G754" t="s">
        <v>52</v>
      </c>
      <c r="H754" t="s">
        <v>52</v>
      </c>
      <c r="I754" t="s">
        <v>52</v>
      </c>
      <c r="J754" t="s">
        <v>590</v>
      </c>
      <c r="K754" t="s">
        <v>52</v>
      </c>
      <c r="L754" t="s">
        <v>662</v>
      </c>
      <c r="M754" t="s">
        <v>654</v>
      </c>
      <c r="N754" t="s">
        <v>163</v>
      </c>
      <c r="O754" t="s">
        <v>145</v>
      </c>
      <c r="P754" t="s">
        <v>145</v>
      </c>
      <c r="Q754" t="s">
        <v>51</v>
      </c>
      <c r="R754" t="s">
        <v>51</v>
      </c>
      <c r="S754" t="s">
        <v>51</v>
      </c>
      <c r="T754" t="s">
        <v>51</v>
      </c>
    </row>
    <row r="755" spans="1:20">
      <c r="A755" t="s">
        <v>638</v>
      </c>
      <c r="B755" t="s">
        <v>129</v>
      </c>
      <c r="C755" t="s">
        <v>49</v>
      </c>
      <c r="D755" t="s">
        <v>51</v>
      </c>
      <c r="E755" t="s">
        <v>51</v>
      </c>
      <c r="F755" t="s">
        <v>51</v>
      </c>
      <c r="G755" t="s">
        <v>52</v>
      </c>
      <c r="H755" t="s">
        <v>52</v>
      </c>
      <c r="I755" t="s">
        <v>52</v>
      </c>
      <c r="J755" t="s">
        <v>590</v>
      </c>
      <c r="K755" t="s">
        <v>52</v>
      </c>
      <c r="L755" t="s">
        <v>662</v>
      </c>
      <c r="M755" t="s">
        <v>654</v>
      </c>
      <c r="N755" t="s">
        <v>163</v>
      </c>
      <c r="O755" t="s">
        <v>145</v>
      </c>
      <c r="P755" t="s">
        <v>145</v>
      </c>
      <c r="Q755" t="s">
        <v>51</v>
      </c>
      <c r="R755" t="s">
        <v>51</v>
      </c>
      <c r="S755" t="s">
        <v>51</v>
      </c>
      <c r="T755" t="s">
        <v>51</v>
      </c>
    </row>
    <row r="756" spans="1:20">
      <c r="A756" t="s">
        <v>639</v>
      </c>
      <c r="B756" t="s">
        <v>131</v>
      </c>
      <c r="C756" t="s">
        <v>49</v>
      </c>
      <c r="D756" t="s">
        <v>51</v>
      </c>
      <c r="E756" t="s">
        <v>51</v>
      </c>
      <c r="F756" t="s">
        <v>51</v>
      </c>
      <c r="G756" t="s">
        <v>52</v>
      </c>
      <c r="H756" t="s">
        <v>52</v>
      </c>
      <c r="I756" t="s">
        <v>52</v>
      </c>
      <c r="J756" t="s">
        <v>590</v>
      </c>
      <c r="K756" t="s">
        <v>52</v>
      </c>
      <c r="L756" t="s">
        <v>662</v>
      </c>
      <c r="M756" t="s">
        <v>654</v>
      </c>
      <c r="N756" t="s">
        <v>163</v>
      </c>
      <c r="O756" t="s">
        <v>145</v>
      </c>
      <c r="P756" t="s">
        <v>145</v>
      </c>
      <c r="Q756" t="s">
        <v>51</v>
      </c>
      <c r="R756" t="s">
        <v>51</v>
      </c>
      <c r="S756" t="s">
        <v>51</v>
      </c>
      <c r="T756" t="s">
        <v>51</v>
      </c>
    </row>
    <row r="757" spans="1:20">
      <c r="A757" t="s">
        <v>640</v>
      </c>
      <c r="B757" t="s">
        <v>133</v>
      </c>
      <c r="C757" t="s">
        <v>49</v>
      </c>
      <c r="D757" t="s">
        <v>51</v>
      </c>
      <c r="E757" t="s">
        <v>51</v>
      </c>
      <c r="F757" t="s">
        <v>51</v>
      </c>
      <c r="G757" t="s">
        <v>52</v>
      </c>
      <c r="H757" t="s">
        <v>52</v>
      </c>
      <c r="I757" t="s">
        <v>52</v>
      </c>
      <c r="J757" t="s">
        <v>590</v>
      </c>
      <c r="K757" t="s">
        <v>52</v>
      </c>
      <c r="L757" t="s">
        <v>662</v>
      </c>
      <c r="M757" t="s">
        <v>654</v>
      </c>
      <c r="N757" t="s">
        <v>163</v>
      </c>
      <c r="O757" t="s">
        <v>145</v>
      </c>
      <c r="P757" t="s">
        <v>145</v>
      </c>
      <c r="Q757" t="s">
        <v>51</v>
      </c>
      <c r="R757" t="s">
        <v>51</v>
      </c>
      <c r="S757" t="s">
        <v>51</v>
      </c>
      <c r="T757" t="s">
        <v>51</v>
      </c>
    </row>
    <row r="758" spans="1:20">
      <c r="A758" t="s">
        <v>641</v>
      </c>
      <c r="B758" t="s">
        <v>135</v>
      </c>
      <c r="C758" t="s">
        <v>49</v>
      </c>
      <c r="D758" t="s">
        <v>51</v>
      </c>
      <c r="E758" t="s">
        <v>51</v>
      </c>
      <c r="F758" t="s">
        <v>51</v>
      </c>
      <c r="G758" t="s">
        <v>52</v>
      </c>
      <c r="H758" t="s">
        <v>52</v>
      </c>
      <c r="I758" t="s">
        <v>52</v>
      </c>
      <c r="J758" t="s">
        <v>590</v>
      </c>
      <c r="K758" t="s">
        <v>52</v>
      </c>
      <c r="L758" t="s">
        <v>662</v>
      </c>
      <c r="M758" t="s">
        <v>654</v>
      </c>
      <c r="N758" t="s">
        <v>163</v>
      </c>
      <c r="O758" t="s">
        <v>145</v>
      </c>
      <c r="P758" t="s">
        <v>145</v>
      </c>
      <c r="Q758" t="s">
        <v>51</v>
      </c>
      <c r="R758" t="s">
        <v>51</v>
      </c>
      <c r="S758" t="s">
        <v>51</v>
      </c>
      <c r="T758" t="s">
        <v>51</v>
      </c>
    </row>
    <row r="759" spans="1:20">
      <c r="A759" t="s">
        <v>642</v>
      </c>
      <c r="B759" t="s">
        <v>137</v>
      </c>
      <c r="C759" t="s">
        <v>49</v>
      </c>
      <c r="D759" t="s">
        <v>51</v>
      </c>
      <c r="E759" t="s">
        <v>51</v>
      </c>
      <c r="F759" t="s">
        <v>51</v>
      </c>
      <c r="G759" t="s">
        <v>52</v>
      </c>
      <c r="H759" t="s">
        <v>52</v>
      </c>
      <c r="I759" t="s">
        <v>52</v>
      </c>
      <c r="J759" t="s">
        <v>590</v>
      </c>
      <c r="K759" t="s">
        <v>52</v>
      </c>
      <c r="L759" t="s">
        <v>662</v>
      </c>
      <c r="M759" t="s">
        <v>654</v>
      </c>
      <c r="N759" t="s">
        <v>163</v>
      </c>
      <c r="O759" t="s">
        <v>145</v>
      </c>
      <c r="P759" t="s">
        <v>145</v>
      </c>
      <c r="Q759" t="s">
        <v>51</v>
      </c>
      <c r="R759" t="s">
        <v>51</v>
      </c>
      <c r="S759" t="s">
        <v>51</v>
      </c>
      <c r="T759" t="s">
        <v>51</v>
      </c>
    </row>
    <row r="760" spans="1:20">
      <c r="A760" t="s">
        <v>643</v>
      </c>
      <c r="B760" t="s">
        <v>139</v>
      </c>
      <c r="C760" t="s">
        <v>49</v>
      </c>
      <c r="D760" t="s">
        <v>51</v>
      </c>
      <c r="E760" t="s">
        <v>51</v>
      </c>
      <c r="F760" t="s">
        <v>51</v>
      </c>
      <c r="G760" t="s">
        <v>52</v>
      </c>
      <c r="H760" t="s">
        <v>52</v>
      </c>
      <c r="I760" t="s">
        <v>52</v>
      </c>
      <c r="J760" t="s">
        <v>590</v>
      </c>
      <c r="K760" t="s">
        <v>52</v>
      </c>
      <c r="L760" t="s">
        <v>662</v>
      </c>
      <c r="M760" t="s">
        <v>654</v>
      </c>
      <c r="N760" t="s">
        <v>163</v>
      </c>
      <c r="O760" t="s">
        <v>145</v>
      </c>
      <c r="P760" t="s">
        <v>145</v>
      </c>
      <c r="Q760" t="s">
        <v>51</v>
      </c>
      <c r="R760" t="s">
        <v>51</v>
      </c>
      <c r="S760" t="s">
        <v>51</v>
      </c>
      <c r="T760" t="s">
        <v>51</v>
      </c>
    </row>
    <row r="761" spans="1:20">
      <c r="A761" t="s">
        <v>644</v>
      </c>
      <c r="B761" t="s">
        <v>141</v>
      </c>
      <c r="C761" t="s">
        <v>49</v>
      </c>
      <c r="D761" t="s">
        <v>51</v>
      </c>
      <c r="E761" t="s">
        <v>51</v>
      </c>
      <c r="F761" t="s">
        <v>51</v>
      </c>
      <c r="G761" t="s">
        <v>52</v>
      </c>
      <c r="H761" t="s">
        <v>52</v>
      </c>
      <c r="I761" t="s">
        <v>52</v>
      </c>
      <c r="J761" t="s">
        <v>590</v>
      </c>
      <c r="K761" t="s">
        <v>52</v>
      </c>
      <c r="L761" t="s">
        <v>662</v>
      </c>
      <c r="M761" t="s">
        <v>654</v>
      </c>
      <c r="N761" t="s">
        <v>163</v>
      </c>
      <c r="O761" t="s">
        <v>145</v>
      </c>
      <c r="P761" t="s">
        <v>145</v>
      </c>
      <c r="Q761" t="s">
        <v>51</v>
      </c>
      <c r="R761" t="s">
        <v>51</v>
      </c>
      <c r="S761" t="s">
        <v>51</v>
      </c>
      <c r="T761" t="s">
        <v>51</v>
      </c>
    </row>
    <row r="762" spans="1:20">
      <c r="A762" t="s">
        <v>645</v>
      </c>
      <c r="B762" t="s">
        <v>143</v>
      </c>
      <c r="C762" t="s">
        <v>49</v>
      </c>
      <c r="D762" t="s">
        <v>51</v>
      </c>
      <c r="E762" t="s">
        <v>51</v>
      </c>
      <c r="F762" t="s">
        <v>51</v>
      </c>
      <c r="G762" t="s">
        <v>52</v>
      </c>
      <c r="H762" t="s">
        <v>52</v>
      </c>
      <c r="I762" t="s">
        <v>52</v>
      </c>
      <c r="J762" t="s">
        <v>590</v>
      </c>
      <c r="K762" t="s">
        <v>52</v>
      </c>
      <c r="L762" t="s">
        <v>662</v>
      </c>
      <c r="M762" t="s">
        <v>654</v>
      </c>
      <c r="N762" t="s">
        <v>163</v>
      </c>
      <c r="O762" t="s">
        <v>145</v>
      </c>
      <c r="P762" t="s">
        <v>145</v>
      </c>
      <c r="Q762" t="s">
        <v>51</v>
      </c>
      <c r="R762" t="s">
        <v>51</v>
      </c>
      <c r="S762" t="s">
        <v>51</v>
      </c>
      <c r="T762" t="s">
        <v>51</v>
      </c>
    </row>
    <row r="763" spans="1:20">
      <c r="A763" t="s">
        <v>646</v>
      </c>
      <c r="B763" t="s">
        <v>145</v>
      </c>
      <c r="C763" t="s">
        <v>49</v>
      </c>
      <c r="D763" t="s">
        <v>51</v>
      </c>
      <c r="E763" t="s">
        <v>51</v>
      </c>
      <c r="F763" t="s">
        <v>51</v>
      </c>
      <c r="G763" t="s">
        <v>52</v>
      </c>
      <c r="H763" t="s">
        <v>52</v>
      </c>
      <c r="I763" t="s">
        <v>52</v>
      </c>
      <c r="J763" t="s">
        <v>590</v>
      </c>
      <c r="K763" t="s">
        <v>52</v>
      </c>
      <c r="L763" t="s">
        <v>662</v>
      </c>
      <c r="M763" t="s">
        <v>654</v>
      </c>
      <c r="N763" t="s">
        <v>163</v>
      </c>
      <c r="O763" t="s">
        <v>145</v>
      </c>
      <c r="P763" t="s">
        <v>145</v>
      </c>
      <c r="Q763" t="s">
        <v>51</v>
      </c>
      <c r="R763" t="s">
        <v>51</v>
      </c>
      <c r="S763" t="s">
        <v>51</v>
      </c>
      <c r="T763" t="s">
        <v>51</v>
      </c>
    </row>
    <row r="764" spans="1:20">
      <c r="A764" t="s">
        <v>647</v>
      </c>
      <c r="B764" t="s">
        <v>147</v>
      </c>
      <c r="C764" t="s">
        <v>49</v>
      </c>
      <c r="D764" t="s">
        <v>51</v>
      </c>
      <c r="E764" t="s">
        <v>51</v>
      </c>
      <c r="F764" t="s">
        <v>51</v>
      </c>
      <c r="G764" t="s">
        <v>52</v>
      </c>
      <c r="H764" t="s">
        <v>52</v>
      </c>
      <c r="I764" t="s">
        <v>52</v>
      </c>
      <c r="J764" t="s">
        <v>590</v>
      </c>
      <c r="K764" t="s">
        <v>52</v>
      </c>
      <c r="L764" t="s">
        <v>662</v>
      </c>
      <c r="M764" t="s">
        <v>654</v>
      </c>
      <c r="N764" t="s">
        <v>163</v>
      </c>
      <c r="O764" t="s">
        <v>145</v>
      </c>
      <c r="P764" t="s">
        <v>145</v>
      </c>
      <c r="Q764" t="s">
        <v>51</v>
      </c>
      <c r="R764" t="s">
        <v>51</v>
      </c>
      <c r="S764" t="s">
        <v>51</v>
      </c>
      <c r="T764" t="s">
        <v>51</v>
      </c>
    </row>
    <row r="765" spans="1:20">
      <c r="A765" t="s">
        <v>648</v>
      </c>
      <c r="B765" t="s">
        <v>149</v>
      </c>
      <c r="C765" t="s">
        <v>49</v>
      </c>
      <c r="D765" t="s">
        <v>51</v>
      </c>
      <c r="E765" t="s">
        <v>51</v>
      </c>
      <c r="F765" t="s">
        <v>51</v>
      </c>
      <c r="G765" t="s">
        <v>52</v>
      </c>
      <c r="H765" t="s">
        <v>52</v>
      </c>
      <c r="I765" t="s">
        <v>52</v>
      </c>
      <c r="J765" t="s">
        <v>590</v>
      </c>
      <c r="K765" t="s">
        <v>52</v>
      </c>
      <c r="L765" t="s">
        <v>662</v>
      </c>
      <c r="M765" t="s">
        <v>654</v>
      </c>
      <c r="N765" t="s">
        <v>163</v>
      </c>
      <c r="O765" t="s">
        <v>145</v>
      </c>
      <c r="P765" t="s">
        <v>145</v>
      </c>
      <c r="Q765" t="s">
        <v>51</v>
      </c>
      <c r="R765" t="s">
        <v>51</v>
      </c>
      <c r="S765" t="s">
        <v>51</v>
      </c>
      <c r="T765" t="s">
        <v>51</v>
      </c>
    </row>
    <row r="766" spans="1:20">
      <c r="A766" t="s">
        <v>649</v>
      </c>
      <c r="B766" t="s">
        <v>151</v>
      </c>
      <c r="C766" t="s">
        <v>49</v>
      </c>
      <c r="D766" t="s">
        <v>51</v>
      </c>
      <c r="E766" t="s">
        <v>51</v>
      </c>
      <c r="F766" t="s">
        <v>51</v>
      </c>
      <c r="G766" t="s">
        <v>52</v>
      </c>
      <c r="H766" t="s">
        <v>52</v>
      </c>
      <c r="I766" t="s">
        <v>52</v>
      </c>
      <c r="J766" t="s">
        <v>590</v>
      </c>
      <c r="K766" t="s">
        <v>52</v>
      </c>
      <c r="L766" t="s">
        <v>662</v>
      </c>
      <c r="M766" t="s">
        <v>654</v>
      </c>
      <c r="N766" t="s">
        <v>163</v>
      </c>
      <c r="O766" t="s">
        <v>145</v>
      </c>
      <c r="P766" t="s">
        <v>145</v>
      </c>
      <c r="Q766" t="s">
        <v>51</v>
      </c>
      <c r="R766" t="s">
        <v>51</v>
      </c>
      <c r="S766" t="s">
        <v>51</v>
      </c>
      <c r="T766" t="s">
        <v>51</v>
      </c>
    </row>
    <row r="767" spans="1:20">
      <c r="A767" t="s">
        <v>650</v>
      </c>
      <c r="B767" t="s">
        <v>153</v>
      </c>
      <c r="C767" t="s">
        <v>49</v>
      </c>
      <c r="D767" t="s">
        <v>51</v>
      </c>
      <c r="E767" t="s">
        <v>51</v>
      </c>
      <c r="F767" t="s">
        <v>51</v>
      </c>
      <c r="G767" t="s">
        <v>52</v>
      </c>
      <c r="H767" t="s">
        <v>52</v>
      </c>
      <c r="I767" t="s">
        <v>52</v>
      </c>
      <c r="J767" t="s">
        <v>590</v>
      </c>
      <c r="K767" t="s">
        <v>52</v>
      </c>
      <c r="L767" t="s">
        <v>662</v>
      </c>
      <c r="M767" t="s">
        <v>654</v>
      </c>
      <c r="N767" t="s">
        <v>163</v>
      </c>
      <c r="O767" t="s">
        <v>145</v>
      </c>
      <c r="P767" t="s">
        <v>145</v>
      </c>
      <c r="Q767" t="s">
        <v>51</v>
      </c>
      <c r="R767" t="s">
        <v>51</v>
      </c>
      <c r="S767" t="s">
        <v>51</v>
      </c>
      <c r="T767" t="s">
        <v>51</v>
      </c>
    </row>
    <row r="768" spans="1:20">
      <c r="A768" t="s">
        <v>588</v>
      </c>
      <c r="B768" t="s">
        <v>589</v>
      </c>
      <c r="C768" t="s">
        <v>165</v>
      </c>
      <c r="D768" t="s">
        <v>50</v>
      </c>
      <c r="E768" t="s">
        <v>51</v>
      </c>
      <c r="F768" t="s">
        <v>51</v>
      </c>
      <c r="G768" t="s">
        <v>52</v>
      </c>
      <c r="H768" t="s">
        <v>52</v>
      </c>
      <c r="I768" t="s">
        <v>52</v>
      </c>
      <c r="J768" t="s">
        <v>52</v>
      </c>
      <c r="K768" t="s">
        <v>52</v>
      </c>
      <c r="L768" t="s">
        <v>663</v>
      </c>
      <c r="M768" t="s">
        <v>654</v>
      </c>
      <c r="N768" t="s">
        <v>163</v>
      </c>
      <c r="O768" t="s">
        <v>147</v>
      </c>
      <c r="P768" t="s">
        <v>147</v>
      </c>
      <c r="Q768" t="s">
        <v>51</v>
      </c>
      <c r="R768" t="s">
        <v>51</v>
      </c>
      <c r="S768" t="s">
        <v>51</v>
      </c>
      <c r="T768" t="s">
        <v>51</v>
      </c>
    </row>
    <row r="769" spans="1:20">
      <c r="A769" t="s">
        <v>610</v>
      </c>
      <c r="B769" t="s">
        <v>73</v>
      </c>
      <c r="C769" t="s">
        <v>49</v>
      </c>
      <c r="D769" t="s">
        <v>51</v>
      </c>
      <c r="E769" t="s">
        <v>51</v>
      </c>
      <c r="F769" t="s">
        <v>51</v>
      </c>
      <c r="G769" t="s">
        <v>52</v>
      </c>
      <c r="H769" t="s">
        <v>52</v>
      </c>
      <c r="I769" t="s">
        <v>52</v>
      </c>
      <c r="J769" t="s">
        <v>590</v>
      </c>
      <c r="K769" t="s">
        <v>52</v>
      </c>
      <c r="L769" t="s">
        <v>663</v>
      </c>
      <c r="M769" t="s">
        <v>654</v>
      </c>
      <c r="N769" t="s">
        <v>163</v>
      </c>
      <c r="O769" t="s">
        <v>147</v>
      </c>
      <c r="P769" t="s">
        <v>147</v>
      </c>
      <c r="Q769" t="s">
        <v>51</v>
      </c>
      <c r="R769" t="s">
        <v>51</v>
      </c>
      <c r="S769" t="s">
        <v>51</v>
      </c>
      <c r="T769" t="s">
        <v>51</v>
      </c>
    </row>
    <row r="770" spans="1:20">
      <c r="A770" t="s">
        <v>611</v>
      </c>
      <c r="B770" t="s">
        <v>75</v>
      </c>
      <c r="C770" t="s">
        <v>49</v>
      </c>
      <c r="D770" t="s">
        <v>51</v>
      </c>
      <c r="E770" t="s">
        <v>51</v>
      </c>
      <c r="F770" t="s">
        <v>51</v>
      </c>
      <c r="G770" t="s">
        <v>52</v>
      </c>
      <c r="H770" t="s">
        <v>52</v>
      </c>
      <c r="I770" t="s">
        <v>52</v>
      </c>
      <c r="J770" t="s">
        <v>590</v>
      </c>
      <c r="K770" t="s">
        <v>52</v>
      </c>
      <c r="L770" t="s">
        <v>663</v>
      </c>
      <c r="M770" t="s">
        <v>654</v>
      </c>
      <c r="N770" t="s">
        <v>163</v>
      </c>
      <c r="O770" t="s">
        <v>147</v>
      </c>
      <c r="P770" t="s">
        <v>147</v>
      </c>
      <c r="Q770" t="s">
        <v>51</v>
      </c>
      <c r="R770" t="s">
        <v>51</v>
      </c>
      <c r="S770" t="s">
        <v>51</v>
      </c>
      <c r="T770" t="s">
        <v>51</v>
      </c>
    </row>
    <row r="771" spans="1:20">
      <c r="A771" t="s">
        <v>612</v>
      </c>
      <c r="B771" t="s">
        <v>77</v>
      </c>
      <c r="C771" t="s">
        <v>49</v>
      </c>
      <c r="D771" t="s">
        <v>51</v>
      </c>
      <c r="E771" t="s">
        <v>51</v>
      </c>
      <c r="F771" t="s">
        <v>51</v>
      </c>
      <c r="G771" t="s">
        <v>52</v>
      </c>
      <c r="H771" t="s">
        <v>52</v>
      </c>
      <c r="I771" t="s">
        <v>52</v>
      </c>
      <c r="J771" t="s">
        <v>590</v>
      </c>
      <c r="K771" t="s">
        <v>52</v>
      </c>
      <c r="L771" t="s">
        <v>663</v>
      </c>
      <c r="M771" t="s">
        <v>654</v>
      </c>
      <c r="N771" t="s">
        <v>163</v>
      </c>
      <c r="O771" t="s">
        <v>147</v>
      </c>
      <c r="P771" t="s">
        <v>147</v>
      </c>
      <c r="Q771" t="s">
        <v>51</v>
      </c>
      <c r="R771" t="s">
        <v>51</v>
      </c>
      <c r="S771" t="s">
        <v>51</v>
      </c>
      <c r="T771" t="s">
        <v>51</v>
      </c>
    </row>
    <row r="772" spans="1:20">
      <c r="A772" t="s">
        <v>613</v>
      </c>
      <c r="B772" t="s">
        <v>79</v>
      </c>
      <c r="C772" t="s">
        <v>49</v>
      </c>
      <c r="D772" t="s">
        <v>51</v>
      </c>
      <c r="E772" t="s">
        <v>51</v>
      </c>
      <c r="F772" t="s">
        <v>51</v>
      </c>
      <c r="G772" t="s">
        <v>52</v>
      </c>
      <c r="H772" t="s">
        <v>52</v>
      </c>
      <c r="I772" t="s">
        <v>52</v>
      </c>
      <c r="J772" t="s">
        <v>590</v>
      </c>
      <c r="K772" t="s">
        <v>52</v>
      </c>
      <c r="L772" t="s">
        <v>663</v>
      </c>
      <c r="M772" t="s">
        <v>654</v>
      </c>
      <c r="N772" t="s">
        <v>163</v>
      </c>
      <c r="O772" t="s">
        <v>147</v>
      </c>
      <c r="P772" t="s">
        <v>147</v>
      </c>
      <c r="Q772" t="s">
        <v>51</v>
      </c>
      <c r="R772" t="s">
        <v>51</v>
      </c>
      <c r="S772" t="s">
        <v>51</v>
      </c>
      <c r="T772" t="s">
        <v>51</v>
      </c>
    </row>
    <row r="773" spans="1:20">
      <c r="A773" t="s">
        <v>614</v>
      </c>
      <c r="B773" t="s">
        <v>81</v>
      </c>
      <c r="C773" t="s">
        <v>49</v>
      </c>
      <c r="D773" t="s">
        <v>51</v>
      </c>
      <c r="E773" t="s">
        <v>51</v>
      </c>
      <c r="F773" t="s">
        <v>51</v>
      </c>
      <c r="G773" t="s">
        <v>52</v>
      </c>
      <c r="H773" t="s">
        <v>52</v>
      </c>
      <c r="I773" t="s">
        <v>52</v>
      </c>
      <c r="J773" t="s">
        <v>590</v>
      </c>
      <c r="K773" t="s">
        <v>52</v>
      </c>
      <c r="L773" t="s">
        <v>663</v>
      </c>
      <c r="M773" t="s">
        <v>654</v>
      </c>
      <c r="N773" t="s">
        <v>163</v>
      </c>
      <c r="O773" t="s">
        <v>147</v>
      </c>
      <c r="P773" t="s">
        <v>147</v>
      </c>
      <c r="Q773" t="s">
        <v>51</v>
      </c>
      <c r="R773" t="s">
        <v>51</v>
      </c>
      <c r="S773" t="s">
        <v>51</v>
      </c>
      <c r="T773" t="s">
        <v>51</v>
      </c>
    </row>
    <row r="774" spans="1:20">
      <c r="A774" t="s">
        <v>615</v>
      </c>
      <c r="B774" t="s">
        <v>83</v>
      </c>
      <c r="C774" t="s">
        <v>49</v>
      </c>
      <c r="D774" t="s">
        <v>51</v>
      </c>
      <c r="E774" t="s">
        <v>51</v>
      </c>
      <c r="F774" t="s">
        <v>51</v>
      </c>
      <c r="G774" t="s">
        <v>52</v>
      </c>
      <c r="H774" t="s">
        <v>52</v>
      </c>
      <c r="I774" t="s">
        <v>52</v>
      </c>
      <c r="J774" t="s">
        <v>590</v>
      </c>
      <c r="K774" t="s">
        <v>52</v>
      </c>
      <c r="L774" t="s">
        <v>663</v>
      </c>
      <c r="M774" t="s">
        <v>654</v>
      </c>
      <c r="N774" t="s">
        <v>163</v>
      </c>
      <c r="O774" t="s">
        <v>147</v>
      </c>
      <c r="P774" t="s">
        <v>147</v>
      </c>
      <c r="Q774" t="s">
        <v>51</v>
      </c>
      <c r="R774" t="s">
        <v>51</v>
      </c>
      <c r="S774" t="s">
        <v>51</v>
      </c>
      <c r="T774" t="s">
        <v>51</v>
      </c>
    </row>
    <row r="775" spans="1:20">
      <c r="A775" t="s">
        <v>616</v>
      </c>
      <c r="B775" t="s">
        <v>85</v>
      </c>
      <c r="C775" t="s">
        <v>49</v>
      </c>
      <c r="D775" t="s">
        <v>51</v>
      </c>
      <c r="E775" t="s">
        <v>51</v>
      </c>
      <c r="F775" t="s">
        <v>51</v>
      </c>
      <c r="G775" t="s">
        <v>52</v>
      </c>
      <c r="H775" t="s">
        <v>52</v>
      </c>
      <c r="I775" t="s">
        <v>52</v>
      </c>
      <c r="J775" t="s">
        <v>590</v>
      </c>
      <c r="K775" t="s">
        <v>52</v>
      </c>
      <c r="L775" t="s">
        <v>663</v>
      </c>
      <c r="M775" t="s">
        <v>654</v>
      </c>
      <c r="N775" t="s">
        <v>163</v>
      </c>
      <c r="O775" t="s">
        <v>147</v>
      </c>
      <c r="P775" t="s">
        <v>147</v>
      </c>
      <c r="Q775" t="s">
        <v>51</v>
      </c>
      <c r="R775" t="s">
        <v>51</v>
      </c>
      <c r="S775" t="s">
        <v>51</v>
      </c>
      <c r="T775" t="s">
        <v>51</v>
      </c>
    </row>
    <row r="776" spans="1:20">
      <c r="A776" t="s">
        <v>617</v>
      </c>
      <c r="B776" t="s">
        <v>87</v>
      </c>
      <c r="C776" t="s">
        <v>49</v>
      </c>
      <c r="D776" t="s">
        <v>51</v>
      </c>
      <c r="E776" t="s">
        <v>51</v>
      </c>
      <c r="F776" t="s">
        <v>51</v>
      </c>
      <c r="G776" t="s">
        <v>52</v>
      </c>
      <c r="H776" t="s">
        <v>52</v>
      </c>
      <c r="I776" t="s">
        <v>52</v>
      </c>
      <c r="J776" t="s">
        <v>590</v>
      </c>
      <c r="K776" t="s">
        <v>52</v>
      </c>
      <c r="L776" t="s">
        <v>663</v>
      </c>
      <c r="M776" t="s">
        <v>654</v>
      </c>
      <c r="N776" t="s">
        <v>163</v>
      </c>
      <c r="O776" t="s">
        <v>147</v>
      </c>
      <c r="P776" t="s">
        <v>147</v>
      </c>
      <c r="Q776" t="s">
        <v>51</v>
      </c>
      <c r="R776" t="s">
        <v>51</v>
      </c>
      <c r="S776" t="s">
        <v>51</v>
      </c>
      <c r="T776" t="s">
        <v>51</v>
      </c>
    </row>
    <row r="777" spans="1:20">
      <c r="A777" t="s">
        <v>618</v>
      </c>
      <c r="B777" t="s">
        <v>89</v>
      </c>
      <c r="C777" t="s">
        <v>49</v>
      </c>
      <c r="D777" t="s">
        <v>51</v>
      </c>
      <c r="E777" t="s">
        <v>51</v>
      </c>
      <c r="F777" t="s">
        <v>51</v>
      </c>
      <c r="G777" t="s">
        <v>52</v>
      </c>
      <c r="H777" t="s">
        <v>52</v>
      </c>
      <c r="I777" t="s">
        <v>52</v>
      </c>
      <c r="J777" t="s">
        <v>590</v>
      </c>
      <c r="K777" t="s">
        <v>52</v>
      </c>
      <c r="L777" t="s">
        <v>663</v>
      </c>
      <c r="M777" t="s">
        <v>654</v>
      </c>
      <c r="N777" t="s">
        <v>163</v>
      </c>
      <c r="O777" t="s">
        <v>147</v>
      </c>
      <c r="P777" t="s">
        <v>147</v>
      </c>
      <c r="Q777" t="s">
        <v>51</v>
      </c>
      <c r="R777" t="s">
        <v>51</v>
      </c>
      <c r="S777" t="s">
        <v>51</v>
      </c>
      <c r="T777" t="s">
        <v>51</v>
      </c>
    </row>
    <row r="778" spans="1:20">
      <c r="A778" t="s">
        <v>619</v>
      </c>
      <c r="B778" t="s">
        <v>91</v>
      </c>
      <c r="C778" t="s">
        <v>49</v>
      </c>
      <c r="D778" t="s">
        <v>51</v>
      </c>
      <c r="E778" t="s">
        <v>51</v>
      </c>
      <c r="F778" t="s">
        <v>51</v>
      </c>
      <c r="G778" t="s">
        <v>52</v>
      </c>
      <c r="H778" t="s">
        <v>52</v>
      </c>
      <c r="I778" t="s">
        <v>52</v>
      </c>
      <c r="J778" t="s">
        <v>590</v>
      </c>
      <c r="K778" t="s">
        <v>52</v>
      </c>
      <c r="L778" t="s">
        <v>663</v>
      </c>
      <c r="M778" t="s">
        <v>654</v>
      </c>
      <c r="N778" t="s">
        <v>163</v>
      </c>
      <c r="O778" t="s">
        <v>147</v>
      </c>
      <c r="P778" t="s">
        <v>147</v>
      </c>
      <c r="Q778" t="s">
        <v>51</v>
      </c>
      <c r="R778" t="s">
        <v>51</v>
      </c>
      <c r="S778" t="s">
        <v>51</v>
      </c>
      <c r="T778" t="s">
        <v>51</v>
      </c>
    </row>
    <row r="779" spans="1:20">
      <c r="A779" t="s">
        <v>620</v>
      </c>
      <c r="B779" t="s">
        <v>93</v>
      </c>
      <c r="C779" t="s">
        <v>49</v>
      </c>
      <c r="D779" t="s">
        <v>51</v>
      </c>
      <c r="E779" t="s">
        <v>51</v>
      </c>
      <c r="F779" t="s">
        <v>51</v>
      </c>
      <c r="G779" t="s">
        <v>52</v>
      </c>
      <c r="H779" t="s">
        <v>52</v>
      </c>
      <c r="I779" t="s">
        <v>52</v>
      </c>
      <c r="J779" t="s">
        <v>590</v>
      </c>
      <c r="K779" t="s">
        <v>52</v>
      </c>
      <c r="L779" t="s">
        <v>663</v>
      </c>
      <c r="M779" t="s">
        <v>654</v>
      </c>
      <c r="N779" t="s">
        <v>163</v>
      </c>
      <c r="O779" t="s">
        <v>147</v>
      </c>
      <c r="P779" t="s">
        <v>147</v>
      </c>
      <c r="Q779" t="s">
        <v>51</v>
      </c>
      <c r="R779" t="s">
        <v>51</v>
      </c>
      <c r="S779" t="s">
        <v>51</v>
      </c>
      <c r="T779" t="s">
        <v>51</v>
      </c>
    </row>
    <row r="780" spans="1:20">
      <c r="A780" t="s">
        <v>621</v>
      </c>
      <c r="B780" t="s">
        <v>95</v>
      </c>
      <c r="C780" t="s">
        <v>49</v>
      </c>
      <c r="D780" t="s">
        <v>51</v>
      </c>
      <c r="E780" t="s">
        <v>51</v>
      </c>
      <c r="F780" t="s">
        <v>51</v>
      </c>
      <c r="G780" t="s">
        <v>52</v>
      </c>
      <c r="H780" t="s">
        <v>52</v>
      </c>
      <c r="I780" t="s">
        <v>52</v>
      </c>
      <c r="J780" t="s">
        <v>590</v>
      </c>
      <c r="K780" t="s">
        <v>52</v>
      </c>
      <c r="L780" t="s">
        <v>663</v>
      </c>
      <c r="M780" t="s">
        <v>654</v>
      </c>
      <c r="N780" t="s">
        <v>163</v>
      </c>
      <c r="O780" t="s">
        <v>147</v>
      </c>
      <c r="P780" t="s">
        <v>147</v>
      </c>
      <c r="Q780" t="s">
        <v>51</v>
      </c>
      <c r="R780" t="s">
        <v>51</v>
      </c>
      <c r="S780" t="s">
        <v>51</v>
      </c>
      <c r="T780" t="s">
        <v>51</v>
      </c>
    </row>
    <row r="781" spans="1:20">
      <c r="A781" t="s">
        <v>622</v>
      </c>
      <c r="B781" t="s">
        <v>97</v>
      </c>
      <c r="C781" t="s">
        <v>49</v>
      </c>
      <c r="D781" t="s">
        <v>51</v>
      </c>
      <c r="E781" t="s">
        <v>51</v>
      </c>
      <c r="F781" t="s">
        <v>51</v>
      </c>
      <c r="G781" t="s">
        <v>52</v>
      </c>
      <c r="H781" t="s">
        <v>52</v>
      </c>
      <c r="I781" t="s">
        <v>52</v>
      </c>
      <c r="J781" t="s">
        <v>590</v>
      </c>
      <c r="K781" t="s">
        <v>52</v>
      </c>
      <c r="L781" t="s">
        <v>663</v>
      </c>
      <c r="M781" t="s">
        <v>654</v>
      </c>
      <c r="N781" t="s">
        <v>163</v>
      </c>
      <c r="O781" t="s">
        <v>147</v>
      </c>
      <c r="P781" t="s">
        <v>147</v>
      </c>
      <c r="Q781" t="s">
        <v>51</v>
      </c>
      <c r="R781" t="s">
        <v>51</v>
      </c>
      <c r="S781" t="s">
        <v>51</v>
      </c>
      <c r="T781" t="s">
        <v>51</v>
      </c>
    </row>
    <row r="782" spans="1:20">
      <c r="A782" t="s">
        <v>623</v>
      </c>
      <c r="B782" t="s">
        <v>99</v>
      </c>
      <c r="C782" t="s">
        <v>49</v>
      </c>
      <c r="D782" t="s">
        <v>51</v>
      </c>
      <c r="E782" t="s">
        <v>51</v>
      </c>
      <c r="F782" t="s">
        <v>51</v>
      </c>
      <c r="G782" t="s">
        <v>52</v>
      </c>
      <c r="H782" t="s">
        <v>52</v>
      </c>
      <c r="I782" t="s">
        <v>52</v>
      </c>
      <c r="J782" t="s">
        <v>590</v>
      </c>
      <c r="K782" t="s">
        <v>52</v>
      </c>
      <c r="L782" t="s">
        <v>663</v>
      </c>
      <c r="M782" t="s">
        <v>654</v>
      </c>
      <c r="N782" t="s">
        <v>163</v>
      </c>
      <c r="O782" t="s">
        <v>147</v>
      </c>
      <c r="P782" t="s">
        <v>147</v>
      </c>
      <c r="Q782" t="s">
        <v>51</v>
      </c>
      <c r="R782" t="s">
        <v>51</v>
      </c>
      <c r="S782" t="s">
        <v>51</v>
      </c>
      <c r="T782" t="s">
        <v>51</v>
      </c>
    </row>
    <row r="783" spans="1:20">
      <c r="A783" t="s">
        <v>624</v>
      </c>
      <c r="B783" t="s">
        <v>101</v>
      </c>
      <c r="C783" t="s">
        <v>49</v>
      </c>
      <c r="D783" t="s">
        <v>51</v>
      </c>
      <c r="E783" t="s">
        <v>51</v>
      </c>
      <c r="F783" t="s">
        <v>51</v>
      </c>
      <c r="G783" t="s">
        <v>52</v>
      </c>
      <c r="H783" t="s">
        <v>52</v>
      </c>
      <c r="I783" t="s">
        <v>52</v>
      </c>
      <c r="J783" t="s">
        <v>590</v>
      </c>
      <c r="K783" t="s">
        <v>52</v>
      </c>
      <c r="L783" t="s">
        <v>663</v>
      </c>
      <c r="M783" t="s">
        <v>654</v>
      </c>
      <c r="N783" t="s">
        <v>163</v>
      </c>
      <c r="O783" t="s">
        <v>147</v>
      </c>
      <c r="P783" t="s">
        <v>147</v>
      </c>
      <c r="Q783" t="s">
        <v>51</v>
      </c>
      <c r="R783" t="s">
        <v>51</v>
      </c>
      <c r="S783" t="s">
        <v>51</v>
      </c>
      <c r="T783" t="s">
        <v>51</v>
      </c>
    </row>
    <row r="784" spans="1:20">
      <c r="A784" t="s">
        <v>625</v>
      </c>
      <c r="B784" t="s">
        <v>103</v>
      </c>
      <c r="C784" t="s">
        <v>49</v>
      </c>
      <c r="D784" t="s">
        <v>51</v>
      </c>
      <c r="E784" t="s">
        <v>51</v>
      </c>
      <c r="F784" t="s">
        <v>51</v>
      </c>
      <c r="G784" t="s">
        <v>52</v>
      </c>
      <c r="H784" t="s">
        <v>52</v>
      </c>
      <c r="I784" t="s">
        <v>52</v>
      </c>
      <c r="J784" t="s">
        <v>590</v>
      </c>
      <c r="K784" t="s">
        <v>52</v>
      </c>
      <c r="L784" t="s">
        <v>663</v>
      </c>
      <c r="M784" t="s">
        <v>654</v>
      </c>
      <c r="N784" t="s">
        <v>163</v>
      </c>
      <c r="O784" t="s">
        <v>147</v>
      </c>
      <c r="P784" t="s">
        <v>147</v>
      </c>
      <c r="Q784" t="s">
        <v>51</v>
      </c>
      <c r="R784" t="s">
        <v>51</v>
      </c>
      <c r="S784" t="s">
        <v>51</v>
      </c>
      <c r="T784" t="s">
        <v>51</v>
      </c>
    </row>
    <row r="785" spans="1:20">
      <c r="A785" t="s">
        <v>626</v>
      </c>
      <c r="B785" t="s">
        <v>105</v>
      </c>
      <c r="C785" t="s">
        <v>49</v>
      </c>
      <c r="D785" t="s">
        <v>51</v>
      </c>
      <c r="E785" t="s">
        <v>51</v>
      </c>
      <c r="F785" t="s">
        <v>51</v>
      </c>
      <c r="G785" t="s">
        <v>52</v>
      </c>
      <c r="H785" t="s">
        <v>52</v>
      </c>
      <c r="I785" t="s">
        <v>52</v>
      </c>
      <c r="J785" t="s">
        <v>590</v>
      </c>
      <c r="K785" t="s">
        <v>52</v>
      </c>
      <c r="L785" t="s">
        <v>663</v>
      </c>
      <c r="M785" t="s">
        <v>654</v>
      </c>
      <c r="N785" t="s">
        <v>163</v>
      </c>
      <c r="O785" t="s">
        <v>147</v>
      </c>
      <c r="P785" t="s">
        <v>147</v>
      </c>
      <c r="Q785" t="s">
        <v>51</v>
      </c>
      <c r="R785" t="s">
        <v>51</v>
      </c>
      <c r="S785" t="s">
        <v>51</v>
      </c>
      <c r="T785" t="s">
        <v>51</v>
      </c>
    </row>
    <row r="786" spans="1:20">
      <c r="A786" t="s">
        <v>627</v>
      </c>
      <c r="B786" t="s">
        <v>107</v>
      </c>
      <c r="C786" t="s">
        <v>49</v>
      </c>
      <c r="D786" t="s">
        <v>51</v>
      </c>
      <c r="E786" t="s">
        <v>51</v>
      </c>
      <c r="F786" t="s">
        <v>51</v>
      </c>
      <c r="G786" t="s">
        <v>52</v>
      </c>
      <c r="H786" t="s">
        <v>52</v>
      </c>
      <c r="I786" t="s">
        <v>52</v>
      </c>
      <c r="J786" t="s">
        <v>590</v>
      </c>
      <c r="K786" t="s">
        <v>52</v>
      </c>
      <c r="L786" t="s">
        <v>663</v>
      </c>
      <c r="M786" t="s">
        <v>654</v>
      </c>
      <c r="N786" t="s">
        <v>163</v>
      </c>
      <c r="O786" t="s">
        <v>147</v>
      </c>
      <c r="P786" t="s">
        <v>147</v>
      </c>
      <c r="Q786" t="s">
        <v>51</v>
      </c>
      <c r="R786" t="s">
        <v>51</v>
      </c>
      <c r="S786" t="s">
        <v>51</v>
      </c>
      <c r="T786" t="s">
        <v>51</v>
      </c>
    </row>
    <row r="787" spans="1:20">
      <c r="A787" t="s">
        <v>628</v>
      </c>
      <c r="B787" t="s">
        <v>109</v>
      </c>
      <c r="C787" t="s">
        <v>49</v>
      </c>
      <c r="D787" t="s">
        <v>51</v>
      </c>
      <c r="E787" t="s">
        <v>51</v>
      </c>
      <c r="F787" t="s">
        <v>51</v>
      </c>
      <c r="G787" t="s">
        <v>52</v>
      </c>
      <c r="H787" t="s">
        <v>52</v>
      </c>
      <c r="I787" t="s">
        <v>52</v>
      </c>
      <c r="J787" t="s">
        <v>590</v>
      </c>
      <c r="K787" t="s">
        <v>52</v>
      </c>
      <c r="L787" t="s">
        <v>663</v>
      </c>
      <c r="M787" t="s">
        <v>654</v>
      </c>
      <c r="N787" t="s">
        <v>163</v>
      </c>
      <c r="O787" t="s">
        <v>147</v>
      </c>
      <c r="P787" t="s">
        <v>147</v>
      </c>
      <c r="Q787" t="s">
        <v>51</v>
      </c>
      <c r="R787" t="s">
        <v>51</v>
      </c>
      <c r="S787" t="s">
        <v>51</v>
      </c>
      <c r="T787" t="s">
        <v>51</v>
      </c>
    </row>
    <row r="788" spans="1:20">
      <c r="A788" t="s">
        <v>629</v>
      </c>
      <c r="B788" t="s">
        <v>111</v>
      </c>
      <c r="C788" t="s">
        <v>49</v>
      </c>
      <c r="D788" t="s">
        <v>51</v>
      </c>
      <c r="E788" t="s">
        <v>51</v>
      </c>
      <c r="F788" t="s">
        <v>51</v>
      </c>
      <c r="G788" t="s">
        <v>52</v>
      </c>
      <c r="H788" t="s">
        <v>52</v>
      </c>
      <c r="I788" t="s">
        <v>52</v>
      </c>
      <c r="J788" t="s">
        <v>590</v>
      </c>
      <c r="K788" t="s">
        <v>52</v>
      </c>
      <c r="L788" t="s">
        <v>663</v>
      </c>
      <c r="M788" t="s">
        <v>654</v>
      </c>
      <c r="N788" t="s">
        <v>163</v>
      </c>
      <c r="O788" t="s">
        <v>147</v>
      </c>
      <c r="P788" t="s">
        <v>147</v>
      </c>
      <c r="Q788" t="s">
        <v>51</v>
      </c>
      <c r="R788" t="s">
        <v>51</v>
      </c>
      <c r="S788" t="s">
        <v>51</v>
      </c>
      <c r="T788" t="s">
        <v>51</v>
      </c>
    </row>
    <row r="789" spans="1:20">
      <c r="A789" t="s">
        <v>630</v>
      </c>
      <c r="B789" t="s">
        <v>113</v>
      </c>
      <c r="C789" t="s">
        <v>49</v>
      </c>
      <c r="D789" t="s">
        <v>51</v>
      </c>
      <c r="E789" t="s">
        <v>51</v>
      </c>
      <c r="F789" t="s">
        <v>51</v>
      </c>
      <c r="G789" t="s">
        <v>52</v>
      </c>
      <c r="H789" t="s">
        <v>52</v>
      </c>
      <c r="I789" t="s">
        <v>52</v>
      </c>
      <c r="J789" t="s">
        <v>590</v>
      </c>
      <c r="K789" t="s">
        <v>52</v>
      </c>
      <c r="L789" t="s">
        <v>663</v>
      </c>
      <c r="M789" t="s">
        <v>654</v>
      </c>
      <c r="N789" t="s">
        <v>163</v>
      </c>
      <c r="O789" t="s">
        <v>147</v>
      </c>
      <c r="P789" t="s">
        <v>147</v>
      </c>
      <c r="Q789" t="s">
        <v>51</v>
      </c>
      <c r="R789" t="s">
        <v>51</v>
      </c>
      <c r="S789" t="s">
        <v>51</v>
      </c>
      <c r="T789" t="s">
        <v>51</v>
      </c>
    </row>
    <row r="790" spans="1:20">
      <c r="A790" t="s">
        <v>631</v>
      </c>
      <c r="B790" t="s">
        <v>115</v>
      </c>
      <c r="C790" t="s">
        <v>49</v>
      </c>
      <c r="D790" t="s">
        <v>51</v>
      </c>
      <c r="E790" t="s">
        <v>51</v>
      </c>
      <c r="F790" t="s">
        <v>51</v>
      </c>
      <c r="G790" t="s">
        <v>52</v>
      </c>
      <c r="H790" t="s">
        <v>52</v>
      </c>
      <c r="I790" t="s">
        <v>52</v>
      </c>
      <c r="J790" t="s">
        <v>590</v>
      </c>
      <c r="K790" t="s">
        <v>52</v>
      </c>
      <c r="L790" t="s">
        <v>663</v>
      </c>
      <c r="M790" t="s">
        <v>654</v>
      </c>
      <c r="N790" t="s">
        <v>163</v>
      </c>
      <c r="O790" t="s">
        <v>147</v>
      </c>
      <c r="P790" t="s">
        <v>147</v>
      </c>
      <c r="Q790" t="s">
        <v>51</v>
      </c>
      <c r="R790" t="s">
        <v>51</v>
      </c>
      <c r="S790" t="s">
        <v>51</v>
      </c>
      <c r="T790" t="s">
        <v>51</v>
      </c>
    </row>
    <row r="791" spans="1:20">
      <c r="A791" t="s">
        <v>632</v>
      </c>
      <c r="B791" t="s">
        <v>117</v>
      </c>
      <c r="C791" t="s">
        <v>49</v>
      </c>
      <c r="D791" t="s">
        <v>51</v>
      </c>
      <c r="E791" t="s">
        <v>51</v>
      </c>
      <c r="F791" t="s">
        <v>51</v>
      </c>
      <c r="G791" t="s">
        <v>52</v>
      </c>
      <c r="H791" t="s">
        <v>52</v>
      </c>
      <c r="I791" t="s">
        <v>52</v>
      </c>
      <c r="J791" t="s">
        <v>590</v>
      </c>
      <c r="K791" t="s">
        <v>52</v>
      </c>
      <c r="L791" t="s">
        <v>663</v>
      </c>
      <c r="M791" t="s">
        <v>654</v>
      </c>
      <c r="N791" t="s">
        <v>163</v>
      </c>
      <c r="O791" t="s">
        <v>147</v>
      </c>
      <c r="P791" t="s">
        <v>147</v>
      </c>
      <c r="Q791" t="s">
        <v>51</v>
      </c>
      <c r="R791" t="s">
        <v>51</v>
      </c>
      <c r="S791" t="s">
        <v>51</v>
      </c>
      <c r="T791" t="s">
        <v>51</v>
      </c>
    </row>
    <row r="792" spans="1:20">
      <c r="A792" t="s">
        <v>633</v>
      </c>
      <c r="B792" t="s">
        <v>119</v>
      </c>
      <c r="C792" t="s">
        <v>49</v>
      </c>
      <c r="D792" t="s">
        <v>51</v>
      </c>
      <c r="E792" t="s">
        <v>51</v>
      </c>
      <c r="F792" t="s">
        <v>51</v>
      </c>
      <c r="G792" t="s">
        <v>52</v>
      </c>
      <c r="H792" t="s">
        <v>52</v>
      </c>
      <c r="I792" t="s">
        <v>52</v>
      </c>
      <c r="J792" t="s">
        <v>590</v>
      </c>
      <c r="K792" t="s">
        <v>52</v>
      </c>
      <c r="L792" t="s">
        <v>663</v>
      </c>
      <c r="M792" t="s">
        <v>654</v>
      </c>
      <c r="N792" t="s">
        <v>163</v>
      </c>
      <c r="O792" t="s">
        <v>147</v>
      </c>
      <c r="P792" t="s">
        <v>147</v>
      </c>
      <c r="Q792" t="s">
        <v>51</v>
      </c>
      <c r="R792" t="s">
        <v>51</v>
      </c>
      <c r="S792" t="s">
        <v>51</v>
      </c>
      <c r="T792" t="s">
        <v>51</v>
      </c>
    </row>
    <row r="793" spans="1:20">
      <c r="A793" t="s">
        <v>634</v>
      </c>
      <c r="B793" t="s">
        <v>121</v>
      </c>
      <c r="C793" t="s">
        <v>49</v>
      </c>
      <c r="D793" t="s">
        <v>51</v>
      </c>
      <c r="E793" t="s">
        <v>51</v>
      </c>
      <c r="F793" t="s">
        <v>51</v>
      </c>
      <c r="G793" t="s">
        <v>52</v>
      </c>
      <c r="H793" t="s">
        <v>52</v>
      </c>
      <c r="I793" t="s">
        <v>52</v>
      </c>
      <c r="J793" t="s">
        <v>590</v>
      </c>
      <c r="K793" t="s">
        <v>52</v>
      </c>
      <c r="L793" t="s">
        <v>663</v>
      </c>
      <c r="M793" t="s">
        <v>654</v>
      </c>
      <c r="N793" t="s">
        <v>163</v>
      </c>
      <c r="O793" t="s">
        <v>147</v>
      </c>
      <c r="P793" t="s">
        <v>147</v>
      </c>
      <c r="Q793" t="s">
        <v>51</v>
      </c>
      <c r="R793" t="s">
        <v>51</v>
      </c>
      <c r="S793" t="s">
        <v>51</v>
      </c>
      <c r="T793" t="s">
        <v>51</v>
      </c>
    </row>
    <row r="794" spans="1:20">
      <c r="A794" t="s">
        <v>635</v>
      </c>
      <c r="B794" t="s">
        <v>123</v>
      </c>
      <c r="C794" t="s">
        <v>49</v>
      </c>
      <c r="D794" t="s">
        <v>51</v>
      </c>
      <c r="E794" t="s">
        <v>51</v>
      </c>
      <c r="F794" t="s">
        <v>51</v>
      </c>
      <c r="G794" t="s">
        <v>52</v>
      </c>
      <c r="H794" t="s">
        <v>52</v>
      </c>
      <c r="I794" t="s">
        <v>52</v>
      </c>
      <c r="J794" t="s">
        <v>590</v>
      </c>
      <c r="K794" t="s">
        <v>52</v>
      </c>
      <c r="L794" t="s">
        <v>663</v>
      </c>
      <c r="M794" t="s">
        <v>654</v>
      </c>
      <c r="N794" t="s">
        <v>163</v>
      </c>
      <c r="O794" t="s">
        <v>147</v>
      </c>
      <c r="P794" t="s">
        <v>147</v>
      </c>
      <c r="Q794" t="s">
        <v>51</v>
      </c>
      <c r="R794" t="s">
        <v>51</v>
      </c>
      <c r="S794" t="s">
        <v>51</v>
      </c>
      <c r="T794" t="s">
        <v>51</v>
      </c>
    </row>
    <row r="795" spans="1:20">
      <c r="A795" t="s">
        <v>636</v>
      </c>
      <c r="B795" t="s">
        <v>125</v>
      </c>
      <c r="C795" t="s">
        <v>49</v>
      </c>
      <c r="D795" t="s">
        <v>51</v>
      </c>
      <c r="E795" t="s">
        <v>51</v>
      </c>
      <c r="F795" t="s">
        <v>51</v>
      </c>
      <c r="G795" t="s">
        <v>52</v>
      </c>
      <c r="H795" t="s">
        <v>52</v>
      </c>
      <c r="I795" t="s">
        <v>52</v>
      </c>
      <c r="J795" t="s">
        <v>590</v>
      </c>
      <c r="K795" t="s">
        <v>52</v>
      </c>
      <c r="L795" t="s">
        <v>663</v>
      </c>
      <c r="M795" t="s">
        <v>654</v>
      </c>
      <c r="N795" t="s">
        <v>163</v>
      </c>
      <c r="O795" t="s">
        <v>147</v>
      </c>
      <c r="P795" t="s">
        <v>147</v>
      </c>
      <c r="Q795" t="s">
        <v>51</v>
      </c>
      <c r="R795" t="s">
        <v>51</v>
      </c>
      <c r="S795" t="s">
        <v>51</v>
      </c>
      <c r="T795" t="s">
        <v>51</v>
      </c>
    </row>
    <row r="796" spans="1:20">
      <c r="A796" t="s">
        <v>637</v>
      </c>
      <c r="B796" t="s">
        <v>127</v>
      </c>
      <c r="C796" t="s">
        <v>49</v>
      </c>
      <c r="D796" t="s">
        <v>51</v>
      </c>
      <c r="E796" t="s">
        <v>51</v>
      </c>
      <c r="F796" t="s">
        <v>51</v>
      </c>
      <c r="G796" t="s">
        <v>52</v>
      </c>
      <c r="H796" t="s">
        <v>52</v>
      </c>
      <c r="I796" t="s">
        <v>52</v>
      </c>
      <c r="J796" t="s">
        <v>590</v>
      </c>
      <c r="K796" t="s">
        <v>52</v>
      </c>
      <c r="L796" t="s">
        <v>663</v>
      </c>
      <c r="M796" t="s">
        <v>654</v>
      </c>
      <c r="N796" t="s">
        <v>163</v>
      </c>
      <c r="O796" t="s">
        <v>147</v>
      </c>
      <c r="P796" t="s">
        <v>147</v>
      </c>
      <c r="Q796" t="s">
        <v>51</v>
      </c>
      <c r="R796" t="s">
        <v>51</v>
      </c>
      <c r="S796" t="s">
        <v>51</v>
      </c>
      <c r="T796" t="s">
        <v>51</v>
      </c>
    </row>
    <row r="797" spans="1:20">
      <c r="A797" t="s">
        <v>638</v>
      </c>
      <c r="B797" t="s">
        <v>129</v>
      </c>
      <c r="C797" t="s">
        <v>49</v>
      </c>
      <c r="D797" t="s">
        <v>51</v>
      </c>
      <c r="E797" t="s">
        <v>51</v>
      </c>
      <c r="F797" t="s">
        <v>51</v>
      </c>
      <c r="G797" t="s">
        <v>52</v>
      </c>
      <c r="H797" t="s">
        <v>52</v>
      </c>
      <c r="I797" t="s">
        <v>52</v>
      </c>
      <c r="J797" t="s">
        <v>590</v>
      </c>
      <c r="K797" t="s">
        <v>52</v>
      </c>
      <c r="L797" t="s">
        <v>663</v>
      </c>
      <c r="M797" t="s">
        <v>654</v>
      </c>
      <c r="N797" t="s">
        <v>163</v>
      </c>
      <c r="O797" t="s">
        <v>147</v>
      </c>
      <c r="P797" t="s">
        <v>147</v>
      </c>
      <c r="Q797" t="s">
        <v>51</v>
      </c>
      <c r="R797" t="s">
        <v>51</v>
      </c>
      <c r="S797" t="s">
        <v>51</v>
      </c>
      <c r="T797" t="s">
        <v>51</v>
      </c>
    </row>
    <row r="798" spans="1:20">
      <c r="A798" t="s">
        <v>639</v>
      </c>
      <c r="B798" t="s">
        <v>131</v>
      </c>
      <c r="C798" t="s">
        <v>49</v>
      </c>
      <c r="D798" t="s">
        <v>51</v>
      </c>
      <c r="E798" t="s">
        <v>51</v>
      </c>
      <c r="F798" t="s">
        <v>51</v>
      </c>
      <c r="G798" t="s">
        <v>52</v>
      </c>
      <c r="H798" t="s">
        <v>52</v>
      </c>
      <c r="I798" t="s">
        <v>52</v>
      </c>
      <c r="J798" t="s">
        <v>590</v>
      </c>
      <c r="K798" t="s">
        <v>52</v>
      </c>
      <c r="L798" t="s">
        <v>663</v>
      </c>
      <c r="M798" t="s">
        <v>654</v>
      </c>
      <c r="N798" t="s">
        <v>163</v>
      </c>
      <c r="O798" t="s">
        <v>147</v>
      </c>
      <c r="P798" t="s">
        <v>147</v>
      </c>
      <c r="Q798" t="s">
        <v>51</v>
      </c>
      <c r="R798" t="s">
        <v>51</v>
      </c>
      <c r="S798" t="s">
        <v>51</v>
      </c>
      <c r="T798" t="s">
        <v>51</v>
      </c>
    </row>
    <row r="799" spans="1:20">
      <c r="A799" t="s">
        <v>640</v>
      </c>
      <c r="B799" t="s">
        <v>133</v>
      </c>
      <c r="C799" t="s">
        <v>49</v>
      </c>
      <c r="D799" t="s">
        <v>51</v>
      </c>
      <c r="E799" t="s">
        <v>51</v>
      </c>
      <c r="F799" t="s">
        <v>51</v>
      </c>
      <c r="G799" t="s">
        <v>52</v>
      </c>
      <c r="H799" t="s">
        <v>52</v>
      </c>
      <c r="I799" t="s">
        <v>52</v>
      </c>
      <c r="J799" t="s">
        <v>590</v>
      </c>
      <c r="K799" t="s">
        <v>52</v>
      </c>
      <c r="L799" t="s">
        <v>663</v>
      </c>
      <c r="M799" t="s">
        <v>654</v>
      </c>
      <c r="N799" t="s">
        <v>163</v>
      </c>
      <c r="O799" t="s">
        <v>147</v>
      </c>
      <c r="P799" t="s">
        <v>147</v>
      </c>
      <c r="Q799" t="s">
        <v>51</v>
      </c>
      <c r="R799" t="s">
        <v>51</v>
      </c>
      <c r="S799" t="s">
        <v>51</v>
      </c>
      <c r="T799" t="s">
        <v>51</v>
      </c>
    </row>
    <row r="800" spans="1:20">
      <c r="A800" t="s">
        <v>641</v>
      </c>
      <c r="B800" t="s">
        <v>135</v>
      </c>
      <c r="C800" t="s">
        <v>49</v>
      </c>
      <c r="D800" t="s">
        <v>51</v>
      </c>
      <c r="E800" t="s">
        <v>51</v>
      </c>
      <c r="F800" t="s">
        <v>51</v>
      </c>
      <c r="G800" t="s">
        <v>52</v>
      </c>
      <c r="H800" t="s">
        <v>52</v>
      </c>
      <c r="I800" t="s">
        <v>52</v>
      </c>
      <c r="J800" t="s">
        <v>590</v>
      </c>
      <c r="K800" t="s">
        <v>52</v>
      </c>
      <c r="L800" t="s">
        <v>663</v>
      </c>
      <c r="M800" t="s">
        <v>654</v>
      </c>
      <c r="N800" t="s">
        <v>163</v>
      </c>
      <c r="O800" t="s">
        <v>147</v>
      </c>
      <c r="P800" t="s">
        <v>147</v>
      </c>
      <c r="Q800" t="s">
        <v>51</v>
      </c>
      <c r="R800" t="s">
        <v>51</v>
      </c>
      <c r="S800" t="s">
        <v>51</v>
      </c>
      <c r="T800" t="s">
        <v>51</v>
      </c>
    </row>
    <row r="801" spans="1:20">
      <c r="A801" t="s">
        <v>642</v>
      </c>
      <c r="B801" t="s">
        <v>137</v>
      </c>
      <c r="C801" t="s">
        <v>49</v>
      </c>
      <c r="D801" t="s">
        <v>51</v>
      </c>
      <c r="E801" t="s">
        <v>51</v>
      </c>
      <c r="F801" t="s">
        <v>51</v>
      </c>
      <c r="G801" t="s">
        <v>52</v>
      </c>
      <c r="H801" t="s">
        <v>52</v>
      </c>
      <c r="I801" t="s">
        <v>52</v>
      </c>
      <c r="J801" t="s">
        <v>590</v>
      </c>
      <c r="K801" t="s">
        <v>52</v>
      </c>
      <c r="L801" t="s">
        <v>663</v>
      </c>
      <c r="M801" t="s">
        <v>654</v>
      </c>
      <c r="N801" t="s">
        <v>163</v>
      </c>
      <c r="O801" t="s">
        <v>147</v>
      </c>
      <c r="P801" t="s">
        <v>147</v>
      </c>
      <c r="Q801" t="s">
        <v>51</v>
      </c>
      <c r="R801" t="s">
        <v>51</v>
      </c>
      <c r="S801" t="s">
        <v>51</v>
      </c>
      <c r="T801" t="s">
        <v>51</v>
      </c>
    </row>
    <row r="802" spans="1:20">
      <c r="A802" t="s">
        <v>643</v>
      </c>
      <c r="B802" t="s">
        <v>139</v>
      </c>
      <c r="C802" t="s">
        <v>49</v>
      </c>
      <c r="D802" t="s">
        <v>51</v>
      </c>
      <c r="E802" t="s">
        <v>51</v>
      </c>
      <c r="F802" t="s">
        <v>51</v>
      </c>
      <c r="G802" t="s">
        <v>52</v>
      </c>
      <c r="H802" t="s">
        <v>52</v>
      </c>
      <c r="I802" t="s">
        <v>52</v>
      </c>
      <c r="J802" t="s">
        <v>590</v>
      </c>
      <c r="K802" t="s">
        <v>52</v>
      </c>
      <c r="L802" t="s">
        <v>663</v>
      </c>
      <c r="M802" t="s">
        <v>654</v>
      </c>
      <c r="N802" t="s">
        <v>163</v>
      </c>
      <c r="O802" t="s">
        <v>147</v>
      </c>
      <c r="P802" t="s">
        <v>147</v>
      </c>
      <c r="Q802" t="s">
        <v>51</v>
      </c>
      <c r="R802" t="s">
        <v>51</v>
      </c>
      <c r="S802" t="s">
        <v>51</v>
      </c>
      <c r="T802" t="s">
        <v>51</v>
      </c>
    </row>
    <row r="803" spans="1:20">
      <c r="A803" t="s">
        <v>644</v>
      </c>
      <c r="B803" t="s">
        <v>141</v>
      </c>
      <c r="C803" t="s">
        <v>49</v>
      </c>
      <c r="D803" t="s">
        <v>51</v>
      </c>
      <c r="E803" t="s">
        <v>51</v>
      </c>
      <c r="F803" t="s">
        <v>51</v>
      </c>
      <c r="G803" t="s">
        <v>52</v>
      </c>
      <c r="H803" t="s">
        <v>52</v>
      </c>
      <c r="I803" t="s">
        <v>52</v>
      </c>
      <c r="J803" t="s">
        <v>590</v>
      </c>
      <c r="K803" t="s">
        <v>52</v>
      </c>
      <c r="L803" t="s">
        <v>663</v>
      </c>
      <c r="M803" t="s">
        <v>654</v>
      </c>
      <c r="N803" t="s">
        <v>163</v>
      </c>
      <c r="O803" t="s">
        <v>147</v>
      </c>
      <c r="P803" t="s">
        <v>147</v>
      </c>
      <c r="Q803" t="s">
        <v>51</v>
      </c>
      <c r="R803" t="s">
        <v>51</v>
      </c>
      <c r="S803" t="s">
        <v>51</v>
      </c>
      <c r="T803" t="s">
        <v>51</v>
      </c>
    </row>
    <row r="804" spans="1:20">
      <c r="A804" t="s">
        <v>645</v>
      </c>
      <c r="B804" t="s">
        <v>143</v>
      </c>
      <c r="C804" t="s">
        <v>49</v>
      </c>
      <c r="D804" t="s">
        <v>51</v>
      </c>
      <c r="E804" t="s">
        <v>51</v>
      </c>
      <c r="F804" t="s">
        <v>51</v>
      </c>
      <c r="G804" t="s">
        <v>52</v>
      </c>
      <c r="H804" t="s">
        <v>52</v>
      </c>
      <c r="I804" t="s">
        <v>52</v>
      </c>
      <c r="J804" t="s">
        <v>590</v>
      </c>
      <c r="K804" t="s">
        <v>52</v>
      </c>
      <c r="L804" t="s">
        <v>663</v>
      </c>
      <c r="M804" t="s">
        <v>654</v>
      </c>
      <c r="N804" t="s">
        <v>163</v>
      </c>
      <c r="O804" t="s">
        <v>147</v>
      </c>
      <c r="P804" t="s">
        <v>147</v>
      </c>
      <c r="Q804" t="s">
        <v>51</v>
      </c>
      <c r="R804" t="s">
        <v>51</v>
      </c>
      <c r="S804" t="s">
        <v>51</v>
      </c>
      <c r="T804" t="s">
        <v>51</v>
      </c>
    </row>
    <row r="805" spans="1:20">
      <c r="A805" t="s">
        <v>646</v>
      </c>
      <c r="B805" t="s">
        <v>145</v>
      </c>
      <c r="C805" t="s">
        <v>49</v>
      </c>
      <c r="D805" t="s">
        <v>51</v>
      </c>
      <c r="E805" t="s">
        <v>51</v>
      </c>
      <c r="F805" t="s">
        <v>51</v>
      </c>
      <c r="G805" t="s">
        <v>52</v>
      </c>
      <c r="H805" t="s">
        <v>52</v>
      </c>
      <c r="I805" t="s">
        <v>52</v>
      </c>
      <c r="J805" t="s">
        <v>590</v>
      </c>
      <c r="K805" t="s">
        <v>52</v>
      </c>
      <c r="L805" t="s">
        <v>663</v>
      </c>
      <c r="M805" t="s">
        <v>654</v>
      </c>
      <c r="N805" t="s">
        <v>163</v>
      </c>
      <c r="O805" t="s">
        <v>147</v>
      </c>
      <c r="P805" t="s">
        <v>147</v>
      </c>
      <c r="Q805" t="s">
        <v>51</v>
      </c>
      <c r="R805" t="s">
        <v>51</v>
      </c>
      <c r="S805" t="s">
        <v>51</v>
      </c>
      <c r="T805" t="s">
        <v>51</v>
      </c>
    </row>
    <row r="806" spans="1:20">
      <c r="A806" t="s">
        <v>647</v>
      </c>
      <c r="B806" t="s">
        <v>147</v>
      </c>
      <c r="C806" t="s">
        <v>49</v>
      </c>
      <c r="D806" t="s">
        <v>51</v>
      </c>
      <c r="E806" t="s">
        <v>51</v>
      </c>
      <c r="F806" t="s">
        <v>51</v>
      </c>
      <c r="G806" t="s">
        <v>52</v>
      </c>
      <c r="H806" t="s">
        <v>52</v>
      </c>
      <c r="I806" t="s">
        <v>52</v>
      </c>
      <c r="J806" t="s">
        <v>590</v>
      </c>
      <c r="K806" t="s">
        <v>52</v>
      </c>
      <c r="L806" t="s">
        <v>663</v>
      </c>
      <c r="M806" t="s">
        <v>654</v>
      </c>
      <c r="N806" t="s">
        <v>163</v>
      </c>
      <c r="O806" t="s">
        <v>147</v>
      </c>
      <c r="P806" t="s">
        <v>147</v>
      </c>
      <c r="Q806" t="s">
        <v>51</v>
      </c>
      <c r="R806" t="s">
        <v>51</v>
      </c>
      <c r="S806" t="s">
        <v>51</v>
      </c>
      <c r="T806" t="s">
        <v>51</v>
      </c>
    </row>
    <row r="807" spans="1:20">
      <c r="A807" t="s">
        <v>648</v>
      </c>
      <c r="B807" t="s">
        <v>149</v>
      </c>
      <c r="C807" t="s">
        <v>49</v>
      </c>
      <c r="D807" t="s">
        <v>51</v>
      </c>
      <c r="E807" t="s">
        <v>51</v>
      </c>
      <c r="F807" t="s">
        <v>51</v>
      </c>
      <c r="G807" t="s">
        <v>52</v>
      </c>
      <c r="H807" t="s">
        <v>52</v>
      </c>
      <c r="I807" t="s">
        <v>52</v>
      </c>
      <c r="J807" t="s">
        <v>590</v>
      </c>
      <c r="K807" t="s">
        <v>52</v>
      </c>
      <c r="L807" t="s">
        <v>663</v>
      </c>
      <c r="M807" t="s">
        <v>654</v>
      </c>
      <c r="N807" t="s">
        <v>163</v>
      </c>
      <c r="O807" t="s">
        <v>147</v>
      </c>
      <c r="P807" t="s">
        <v>147</v>
      </c>
      <c r="Q807" t="s">
        <v>51</v>
      </c>
      <c r="R807" t="s">
        <v>51</v>
      </c>
      <c r="S807" t="s">
        <v>51</v>
      </c>
      <c r="T807" t="s">
        <v>51</v>
      </c>
    </row>
    <row r="808" spans="1:20">
      <c r="A808" t="s">
        <v>649</v>
      </c>
      <c r="B808" t="s">
        <v>151</v>
      </c>
      <c r="C808" t="s">
        <v>49</v>
      </c>
      <c r="D808" t="s">
        <v>51</v>
      </c>
      <c r="E808" t="s">
        <v>51</v>
      </c>
      <c r="F808" t="s">
        <v>51</v>
      </c>
      <c r="G808" t="s">
        <v>52</v>
      </c>
      <c r="H808" t="s">
        <v>52</v>
      </c>
      <c r="I808" t="s">
        <v>52</v>
      </c>
      <c r="J808" t="s">
        <v>590</v>
      </c>
      <c r="K808" t="s">
        <v>52</v>
      </c>
      <c r="L808" t="s">
        <v>663</v>
      </c>
      <c r="M808" t="s">
        <v>654</v>
      </c>
      <c r="N808" t="s">
        <v>163</v>
      </c>
      <c r="O808" t="s">
        <v>147</v>
      </c>
      <c r="P808" t="s">
        <v>147</v>
      </c>
      <c r="Q808" t="s">
        <v>51</v>
      </c>
      <c r="R808" t="s">
        <v>51</v>
      </c>
      <c r="S808" t="s">
        <v>51</v>
      </c>
      <c r="T808" t="s">
        <v>51</v>
      </c>
    </row>
    <row r="809" spans="1:20">
      <c r="A809" t="s">
        <v>650</v>
      </c>
      <c r="B809" t="s">
        <v>153</v>
      </c>
      <c r="C809" t="s">
        <v>49</v>
      </c>
      <c r="D809" t="s">
        <v>51</v>
      </c>
      <c r="E809" t="s">
        <v>51</v>
      </c>
      <c r="F809" t="s">
        <v>51</v>
      </c>
      <c r="G809" t="s">
        <v>52</v>
      </c>
      <c r="H809" t="s">
        <v>52</v>
      </c>
      <c r="I809" t="s">
        <v>52</v>
      </c>
      <c r="J809" t="s">
        <v>590</v>
      </c>
      <c r="K809" t="s">
        <v>52</v>
      </c>
      <c r="L809" t="s">
        <v>663</v>
      </c>
      <c r="M809" t="s">
        <v>654</v>
      </c>
      <c r="N809" t="s">
        <v>163</v>
      </c>
      <c r="O809" t="s">
        <v>147</v>
      </c>
      <c r="P809" t="s">
        <v>147</v>
      </c>
      <c r="Q809" t="s">
        <v>51</v>
      </c>
      <c r="R809" t="s">
        <v>51</v>
      </c>
      <c r="S809" t="s">
        <v>51</v>
      </c>
      <c r="T809" t="s">
        <v>51</v>
      </c>
    </row>
    <row r="810" spans="1:20">
      <c r="A810" t="s">
        <v>588</v>
      </c>
      <c r="B810" t="s">
        <v>589</v>
      </c>
      <c r="C810" t="s">
        <v>165</v>
      </c>
      <c r="D810" t="s">
        <v>50</v>
      </c>
      <c r="E810" t="s">
        <v>51</v>
      </c>
      <c r="F810" t="s">
        <v>51</v>
      </c>
      <c r="G810" t="s">
        <v>52</v>
      </c>
      <c r="H810" t="s">
        <v>52</v>
      </c>
      <c r="I810" t="s">
        <v>52</v>
      </c>
      <c r="J810" t="s">
        <v>52</v>
      </c>
      <c r="K810" t="s">
        <v>52</v>
      </c>
      <c r="L810" t="s">
        <v>664</v>
      </c>
      <c r="M810" t="s">
        <v>654</v>
      </c>
      <c r="N810" t="s">
        <v>163</v>
      </c>
      <c r="O810" t="s">
        <v>149</v>
      </c>
      <c r="P810" t="s">
        <v>149</v>
      </c>
      <c r="Q810" t="s">
        <v>51</v>
      </c>
      <c r="R810" t="s">
        <v>51</v>
      </c>
      <c r="S810" t="s">
        <v>51</v>
      </c>
      <c r="T810" t="s">
        <v>51</v>
      </c>
    </row>
    <row r="811" spans="1:20">
      <c r="A811" t="s">
        <v>611</v>
      </c>
      <c r="B811" t="s">
        <v>75</v>
      </c>
      <c r="C811" t="s">
        <v>49</v>
      </c>
      <c r="D811" t="s">
        <v>51</v>
      </c>
      <c r="E811" t="s">
        <v>51</v>
      </c>
      <c r="F811" t="s">
        <v>51</v>
      </c>
      <c r="G811" t="s">
        <v>52</v>
      </c>
      <c r="H811" t="s">
        <v>52</v>
      </c>
      <c r="I811" t="s">
        <v>52</v>
      </c>
      <c r="J811" t="s">
        <v>590</v>
      </c>
      <c r="K811" t="s">
        <v>52</v>
      </c>
      <c r="L811" t="s">
        <v>664</v>
      </c>
      <c r="M811" t="s">
        <v>654</v>
      </c>
      <c r="N811" t="s">
        <v>163</v>
      </c>
      <c r="O811" t="s">
        <v>149</v>
      </c>
      <c r="P811" t="s">
        <v>149</v>
      </c>
      <c r="Q811" t="s">
        <v>51</v>
      </c>
      <c r="R811" t="s">
        <v>51</v>
      </c>
      <c r="S811" t="s">
        <v>51</v>
      </c>
      <c r="T811" t="s">
        <v>51</v>
      </c>
    </row>
    <row r="812" spans="1:20">
      <c r="A812" t="s">
        <v>612</v>
      </c>
      <c r="B812" t="s">
        <v>77</v>
      </c>
      <c r="C812" t="s">
        <v>49</v>
      </c>
      <c r="D812" t="s">
        <v>51</v>
      </c>
      <c r="E812" t="s">
        <v>51</v>
      </c>
      <c r="F812" t="s">
        <v>51</v>
      </c>
      <c r="G812" t="s">
        <v>52</v>
      </c>
      <c r="H812" t="s">
        <v>52</v>
      </c>
      <c r="I812" t="s">
        <v>52</v>
      </c>
      <c r="J812" t="s">
        <v>590</v>
      </c>
      <c r="K812" t="s">
        <v>52</v>
      </c>
      <c r="L812" t="s">
        <v>664</v>
      </c>
      <c r="M812" t="s">
        <v>654</v>
      </c>
      <c r="N812" t="s">
        <v>163</v>
      </c>
      <c r="O812" t="s">
        <v>149</v>
      </c>
      <c r="P812" t="s">
        <v>149</v>
      </c>
      <c r="Q812" t="s">
        <v>51</v>
      </c>
      <c r="R812" t="s">
        <v>51</v>
      </c>
      <c r="S812" t="s">
        <v>51</v>
      </c>
      <c r="T812" t="s">
        <v>51</v>
      </c>
    </row>
    <row r="813" spans="1:20">
      <c r="A813" t="s">
        <v>613</v>
      </c>
      <c r="B813" t="s">
        <v>79</v>
      </c>
      <c r="C813" t="s">
        <v>49</v>
      </c>
      <c r="D813" t="s">
        <v>51</v>
      </c>
      <c r="E813" t="s">
        <v>51</v>
      </c>
      <c r="F813" t="s">
        <v>51</v>
      </c>
      <c r="G813" t="s">
        <v>52</v>
      </c>
      <c r="H813" t="s">
        <v>52</v>
      </c>
      <c r="I813" t="s">
        <v>52</v>
      </c>
      <c r="J813" t="s">
        <v>590</v>
      </c>
      <c r="K813" t="s">
        <v>52</v>
      </c>
      <c r="L813" t="s">
        <v>664</v>
      </c>
      <c r="M813" t="s">
        <v>654</v>
      </c>
      <c r="N813" t="s">
        <v>163</v>
      </c>
      <c r="O813" t="s">
        <v>149</v>
      </c>
      <c r="P813" t="s">
        <v>149</v>
      </c>
      <c r="Q813" t="s">
        <v>51</v>
      </c>
      <c r="R813" t="s">
        <v>51</v>
      </c>
      <c r="S813" t="s">
        <v>51</v>
      </c>
      <c r="T813" t="s">
        <v>51</v>
      </c>
    </row>
    <row r="814" spans="1:20">
      <c r="A814" t="s">
        <v>614</v>
      </c>
      <c r="B814" t="s">
        <v>81</v>
      </c>
      <c r="C814" t="s">
        <v>49</v>
      </c>
      <c r="D814" t="s">
        <v>51</v>
      </c>
      <c r="E814" t="s">
        <v>51</v>
      </c>
      <c r="F814" t="s">
        <v>51</v>
      </c>
      <c r="G814" t="s">
        <v>52</v>
      </c>
      <c r="H814" t="s">
        <v>52</v>
      </c>
      <c r="I814" t="s">
        <v>52</v>
      </c>
      <c r="J814" t="s">
        <v>590</v>
      </c>
      <c r="K814" t="s">
        <v>52</v>
      </c>
      <c r="L814" t="s">
        <v>664</v>
      </c>
      <c r="M814" t="s">
        <v>654</v>
      </c>
      <c r="N814" t="s">
        <v>163</v>
      </c>
      <c r="O814" t="s">
        <v>149</v>
      </c>
      <c r="P814" t="s">
        <v>149</v>
      </c>
      <c r="Q814" t="s">
        <v>51</v>
      </c>
      <c r="R814" t="s">
        <v>51</v>
      </c>
      <c r="S814" t="s">
        <v>51</v>
      </c>
      <c r="T814" t="s">
        <v>51</v>
      </c>
    </row>
    <row r="815" spans="1:20">
      <c r="A815" t="s">
        <v>615</v>
      </c>
      <c r="B815" t="s">
        <v>83</v>
      </c>
      <c r="C815" t="s">
        <v>49</v>
      </c>
      <c r="D815" t="s">
        <v>51</v>
      </c>
      <c r="E815" t="s">
        <v>51</v>
      </c>
      <c r="F815" t="s">
        <v>51</v>
      </c>
      <c r="G815" t="s">
        <v>52</v>
      </c>
      <c r="H815" t="s">
        <v>52</v>
      </c>
      <c r="I815" t="s">
        <v>52</v>
      </c>
      <c r="J815" t="s">
        <v>590</v>
      </c>
      <c r="K815" t="s">
        <v>52</v>
      </c>
      <c r="L815" t="s">
        <v>664</v>
      </c>
      <c r="M815" t="s">
        <v>654</v>
      </c>
      <c r="N815" t="s">
        <v>163</v>
      </c>
      <c r="O815" t="s">
        <v>149</v>
      </c>
      <c r="P815" t="s">
        <v>149</v>
      </c>
      <c r="Q815" t="s">
        <v>51</v>
      </c>
      <c r="R815" t="s">
        <v>51</v>
      </c>
      <c r="S815" t="s">
        <v>51</v>
      </c>
      <c r="T815" t="s">
        <v>51</v>
      </c>
    </row>
    <row r="816" spans="1:20">
      <c r="A816" t="s">
        <v>616</v>
      </c>
      <c r="B816" t="s">
        <v>85</v>
      </c>
      <c r="C816" t="s">
        <v>49</v>
      </c>
      <c r="D816" t="s">
        <v>51</v>
      </c>
      <c r="E816" t="s">
        <v>51</v>
      </c>
      <c r="F816" t="s">
        <v>51</v>
      </c>
      <c r="G816" t="s">
        <v>52</v>
      </c>
      <c r="H816" t="s">
        <v>52</v>
      </c>
      <c r="I816" t="s">
        <v>52</v>
      </c>
      <c r="J816" t="s">
        <v>590</v>
      </c>
      <c r="K816" t="s">
        <v>52</v>
      </c>
      <c r="L816" t="s">
        <v>664</v>
      </c>
      <c r="M816" t="s">
        <v>654</v>
      </c>
      <c r="N816" t="s">
        <v>163</v>
      </c>
      <c r="O816" t="s">
        <v>149</v>
      </c>
      <c r="P816" t="s">
        <v>149</v>
      </c>
      <c r="Q816" t="s">
        <v>51</v>
      </c>
      <c r="R816" t="s">
        <v>51</v>
      </c>
      <c r="S816" t="s">
        <v>51</v>
      </c>
      <c r="T816" t="s">
        <v>51</v>
      </c>
    </row>
    <row r="817" spans="1:20">
      <c r="A817" t="s">
        <v>617</v>
      </c>
      <c r="B817" t="s">
        <v>87</v>
      </c>
      <c r="C817" t="s">
        <v>49</v>
      </c>
      <c r="D817" t="s">
        <v>51</v>
      </c>
      <c r="E817" t="s">
        <v>51</v>
      </c>
      <c r="F817" t="s">
        <v>51</v>
      </c>
      <c r="G817" t="s">
        <v>52</v>
      </c>
      <c r="H817" t="s">
        <v>52</v>
      </c>
      <c r="I817" t="s">
        <v>52</v>
      </c>
      <c r="J817" t="s">
        <v>590</v>
      </c>
      <c r="K817" t="s">
        <v>52</v>
      </c>
      <c r="L817" t="s">
        <v>664</v>
      </c>
      <c r="M817" t="s">
        <v>654</v>
      </c>
      <c r="N817" t="s">
        <v>163</v>
      </c>
      <c r="O817" t="s">
        <v>149</v>
      </c>
      <c r="P817" t="s">
        <v>149</v>
      </c>
      <c r="Q817" t="s">
        <v>51</v>
      </c>
      <c r="R817" t="s">
        <v>51</v>
      </c>
      <c r="S817" t="s">
        <v>51</v>
      </c>
      <c r="T817" t="s">
        <v>51</v>
      </c>
    </row>
    <row r="818" spans="1:20">
      <c r="A818" t="s">
        <v>618</v>
      </c>
      <c r="B818" t="s">
        <v>89</v>
      </c>
      <c r="C818" t="s">
        <v>49</v>
      </c>
      <c r="D818" t="s">
        <v>51</v>
      </c>
      <c r="E818" t="s">
        <v>51</v>
      </c>
      <c r="F818" t="s">
        <v>51</v>
      </c>
      <c r="G818" t="s">
        <v>52</v>
      </c>
      <c r="H818" t="s">
        <v>52</v>
      </c>
      <c r="I818" t="s">
        <v>52</v>
      </c>
      <c r="J818" t="s">
        <v>590</v>
      </c>
      <c r="K818" t="s">
        <v>52</v>
      </c>
      <c r="L818" t="s">
        <v>664</v>
      </c>
      <c r="M818" t="s">
        <v>654</v>
      </c>
      <c r="N818" t="s">
        <v>163</v>
      </c>
      <c r="O818" t="s">
        <v>149</v>
      </c>
      <c r="P818" t="s">
        <v>149</v>
      </c>
      <c r="Q818" t="s">
        <v>51</v>
      </c>
      <c r="R818" t="s">
        <v>51</v>
      </c>
      <c r="S818" t="s">
        <v>51</v>
      </c>
      <c r="T818" t="s">
        <v>51</v>
      </c>
    </row>
    <row r="819" spans="1:20">
      <c r="A819" t="s">
        <v>619</v>
      </c>
      <c r="B819" t="s">
        <v>91</v>
      </c>
      <c r="C819" t="s">
        <v>49</v>
      </c>
      <c r="D819" t="s">
        <v>51</v>
      </c>
      <c r="E819" t="s">
        <v>51</v>
      </c>
      <c r="F819" t="s">
        <v>51</v>
      </c>
      <c r="G819" t="s">
        <v>52</v>
      </c>
      <c r="H819" t="s">
        <v>52</v>
      </c>
      <c r="I819" t="s">
        <v>52</v>
      </c>
      <c r="J819" t="s">
        <v>590</v>
      </c>
      <c r="K819" t="s">
        <v>52</v>
      </c>
      <c r="L819" t="s">
        <v>664</v>
      </c>
      <c r="M819" t="s">
        <v>654</v>
      </c>
      <c r="N819" t="s">
        <v>163</v>
      </c>
      <c r="O819" t="s">
        <v>149</v>
      </c>
      <c r="P819" t="s">
        <v>149</v>
      </c>
      <c r="Q819" t="s">
        <v>51</v>
      </c>
      <c r="R819" t="s">
        <v>51</v>
      </c>
      <c r="S819" t="s">
        <v>51</v>
      </c>
      <c r="T819" t="s">
        <v>51</v>
      </c>
    </row>
    <row r="820" spans="1:20">
      <c r="A820" t="s">
        <v>620</v>
      </c>
      <c r="B820" t="s">
        <v>93</v>
      </c>
      <c r="C820" t="s">
        <v>49</v>
      </c>
      <c r="D820" t="s">
        <v>51</v>
      </c>
      <c r="E820" t="s">
        <v>51</v>
      </c>
      <c r="F820" t="s">
        <v>51</v>
      </c>
      <c r="G820" t="s">
        <v>52</v>
      </c>
      <c r="H820" t="s">
        <v>52</v>
      </c>
      <c r="I820" t="s">
        <v>52</v>
      </c>
      <c r="J820" t="s">
        <v>590</v>
      </c>
      <c r="K820" t="s">
        <v>52</v>
      </c>
      <c r="L820" t="s">
        <v>664</v>
      </c>
      <c r="M820" t="s">
        <v>654</v>
      </c>
      <c r="N820" t="s">
        <v>163</v>
      </c>
      <c r="O820" t="s">
        <v>149</v>
      </c>
      <c r="P820" t="s">
        <v>149</v>
      </c>
      <c r="Q820" t="s">
        <v>51</v>
      </c>
      <c r="R820" t="s">
        <v>51</v>
      </c>
      <c r="S820" t="s">
        <v>51</v>
      </c>
      <c r="T820" t="s">
        <v>51</v>
      </c>
    </row>
    <row r="821" spans="1:20">
      <c r="A821" t="s">
        <v>621</v>
      </c>
      <c r="B821" t="s">
        <v>95</v>
      </c>
      <c r="C821" t="s">
        <v>49</v>
      </c>
      <c r="D821" t="s">
        <v>51</v>
      </c>
      <c r="E821" t="s">
        <v>51</v>
      </c>
      <c r="F821" t="s">
        <v>51</v>
      </c>
      <c r="G821" t="s">
        <v>52</v>
      </c>
      <c r="H821" t="s">
        <v>52</v>
      </c>
      <c r="I821" t="s">
        <v>52</v>
      </c>
      <c r="J821" t="s">
        <v>590</v>
      </c>
      <c r="K821" t="s">
        <v>52</v>
      </c>
      <c r="L821" t="s">
        <v>664</v>
      </c>
      <c r="M821" t="s">
        <v>654</v>
      </c>
      <c r="N821" t="s">
        <v>163</v>
      </c>
      <c r="O821" t="s">
        <v>149</v>
      </c>
      <c r="P821" t="s">
        <v>149</v>
      </c>
      <c r="Q821" t="s">
        <v>51</v>
      </c>
      <c r="R821" t="s">
        <v>51</v>
      </c>
      <c r="S821" t="s">
        <v>51</v>
      </c>
      <c r="T821" t="s">
        <v>51</v>
      </c>
    </row>
    <row r="822" spans="1:20">
      <c r="A822" t="s">
        <v>622</v>
      </c>
      <c r="B822" t="s">
        <v>97</v>
      </c>
      <c r="C822" t="s">
        <v>49</v>
      </c>
      <c r="D822" t="s">
        <v>51</v>
      </c>
      <c r="E822" t="s">
        <v>51</v>
      </c>
      <c r="F822" t="s">
        <v>51</v>
      </c>
      <c r="G822" t="s">
        <v>52</v>
      </c>
      <c r="H822" t="s">
        <v>52</v>
      </c>
      <c r="I822" t="s">
        <v>52</v>
      </c>
      <c r="J822" t="s">
        <v>590</v>
      </c>
      <c r="K822" t="s">
        <v>52</v>
      </c>
      <c r="L822" t="s">
        <v>664</v>
      </c>
      <c r="M822" t="s">
        <v>654</v>
      </c>
      <c r="N822" t="s">
        <v>163</v>
      </c>
      <c r="O822" t="s">
        <v>149</v>
      </c>
      <c r="P822" t="s">
        <v>149</v>
      </c>
      <c r="Q822" t="s">
        <v>51</v>
      </c>
      <c r="R822" t="s">
        <v>51</v>
      </c>
      <c r="S822" t="s">
        <v>51</v>
      </c>
      <c r="T822" t="s">
        <v>51</v>
      </c>
    </row>
    <row r="823" spans="1:20">
      <c r="A823" t="s">
        <v>623</v>
      </c>
      <c r="B823" t="s">
        <v>99</v>
      </c>
      <c r="C823" t="s">
        <v>49</v>
      </c>
      <c r="D823" t="s">
        <v>51</v>
      </c>
      <c r="E823" t="s">
        <v>51</v>
      </c>
      <c r="F823" t="s">
        <v>51</v>
      </c>
      <c r="G823" t="s">
        <v>52</v>
      </c>
      <c r="H823" t="s">
        <v>52</v>
      </c>
      <c r="I823" t="s">
        <v>52</v>
      </c>
      <c r="J823" t="s">
        <v>590</v>
      </c>
      <c r="K823" t="s">
        <v>52</v>
      </c>
      <c r="L823" t="s">
        <v>664</v>
      </c>
      <c r="M823" t="s">
        <v>654</v>
      </c>
      <c r="N823" t="s">
        <v>163</v>
      </c>
      <c r="O823" t="s">
        <v>149</v>
      </c>
      <c r="P823" t="s">
        <v>149</v>
      </c>
      <c r="Q823" t="s">
        <v>51</v>
      </c>
      <c r="R823" t="s">
        <v>51</v>
      </c>
      <c r="S823" t="s">
        <v>51</v>
      </c>
      <c r="T823" t="s">
        <v>51</v>
      </c>
    </row>
    <row r="824" spans="1:20">
      <c r="A824" t="s">
        <v>624</v>
      </c>
      <c r="B824" t="s">
        <v>101</v>
      </c>
      <c r="C824" t="s">
        <v>49</v>
      </c>
      <c r="D824" t="s">
        <v>51</v>
      </c>
      <c r="E824" t="s">
        <v>51</v>
      </c>
      <c r="F824" t="s">
        <v>51</v>
      </c>
      <c r="G824" t="s">
        <v>52</v>
      </c>
      <c r="H824" t="s">
        <v>52</v>
      </c>
      <c r="I824" t="s">
        <v>52</v>
      </c>
      <c r="J824" t="s">
        <v>590</v>
      </c>
      <c r="K824" t="s">
        <v>52</v>
      </c>
      <c r="L824" t="s">
        <v>664</v>
      </c>
      <c r="M824" t="s">
        <v>654</v>
      </c>
      <c r="N824" t="s">
        <v>163</v>
      </c>
      <c r="O824" t="s">
        <v>149</v>
      </c>
      <c r="P824" t="s">
        <v>149</v>
      </c>
      <c r="Q824" t="s">
        <v>51</v>
      </c>
      <c r="R824" t="s">
        <v>51</v>
      </c>
      <c r="S824" t="s">
        <v>51</v>
      </c>
      <c r="T824" t="s">
        <v>51</v>
      </c>
    </row>
    <row r="825" spans="1:20">
      <c r="A825" t="s">
        <v>625</v>
      </c>
      <c r="B825" t="s">
        <v>103</v>
      </c>
      <c r="C825" t="s">
        <v>49</v>
      </c>
      <c r="D825" t="s">
        <v>51</v>
      </c>
      <c r="E825" t="s">
        <v>51</v>
      </c>
      <c r="F825" t="s">
        <v>51</v>
      </c>
      <c r="G825" t="s">
        <v>52</v>
      </c>
      <c r="H825" t="s">
        <v>52</v>
      </c>
      <c r="I825" t="s">
        <v>52</v>
      </c>
      <c r="J825" t="s">
        <v>590</v>
      </c>
      <c r="K825" t="s">
        <v>52</v>
      </c>
      <c r="L825" t="s">
        <v>664</v>
      </c>
      <c r="M825" t="s">
        <v>654</v>
      </c>
      <c r="N825" t="s">
        <v>163</v>
      </c>
      <c r="O825" t="s">
        <v>149</v>
      </c>
      <c r="P825" t="s">
        <v>149</v>
      </c>
      <c r="Q825" t="s">
        <v>51</v>
      </c>
      <c r="R825" t="s">
        <v>51</v>
      </c>
      <c r="S825" t="s">
        <v>51</v>
      </c>
      <c r="T825" t="s">
        <v>51</v>
      </c>
    </row>
    <row r="826" spans="1:20">
      <c r="A826" t="s">
        <v>626</v>
      </c>
      <c r="B826" t="s">
        <v>105</v>
      </c>
      <c r="C826" t="s">
        <v>49</v>
      </c>
      <c r="D826" t="s">
        <v>51</v>
      </c>
      <c r="E826" t="s">
        <v>51</v>
      </c>
      <c r="F826" t="s">
        <v>51</v>
      </c>
      <c r="G826" t="s">
        <v>52</v>
      </c>
      <c r="H826" t="s">
        <v>52</v>
      </c>
      <c r="I826" t="s">
        <v>52</v>
      </c>
      <c r="J826" t="s">
        <v>590</v>
      </c>
      <c r="K826" t="s">
        <v>52</v>
      </c>
      <c r="L826" t="s">
        <v>664</v>
      </c>
      <c r="M826" t="s">
        <v>654</v>
      </c>
      <c r="N826" t="s">
        <v>163</v>
      </c>
      <c r="O826" t="s">
        <v>149</v>
      </c>
      <c r="P826" t="s">
        <v>149</v>
      </c>
      <c r="Q826" t="s">
        <v>51</v>
      </c>
      <c r="R826" t="s">
        <v>51</v>
      </c>
      <c r="S826" t="s">
        <v>51</v>
      </c>
      <c r="T826" t="s">
        <v>51</v>
      </c>
    </row>
    <row r="827" spans="1:20">
      <c r="A827" t="s">
        <v>627</v>
      </c>
      <c r="B827" t="s">
        <v>107</v>
      </c>
      <c r="C827" t="s">
        <v>49</v>
      </c>
      <c r="D827" t="s">
        <v>51</v>
      </c>
      <c r="E827" t="s">
        <v>51</v>
      </c>
      <c r="F827" t="s">
        <v>51</v>
      </c>
      <c r="G827" t="s">
        <v>52</v>
      </c>
      <c r="H827" t="s">
        <v>52</v>
      </c>
      <c r="I827" t="s">
        <v>52</v>
      </c>
      <c r="J827" t="s">
        <v>590</v>
      </c>
      <c r="K827" t="s">
        <v>52</v>
      </c>
      <c r="L827" t="s">
        <v>664</v>
      </c>
      <c r="M827" t="s">
        <v>654</v>
      </c>
      <c r="N827" t="s">
        <v>163</v>
      </c>
      <c r="O827" t="s">
        <v>149</v>
      </c>
      <c r="P827" t="s">
        <v>149</v>
      </c>
      <c r="Q827" t="s">
        <v>51</v>
      </c>
      <c r="R827" t="s">
        <v>51</v>
      </c>
      <c r="S827" t="s">
        <v>51</v>
      </c>
      <c r="T827" t="s">
        <v>51</v>
      </c>
    </row>
    <row r="828" spans="1:20">
      <c r="A828" t="s">
        <v>628</v>
      </c>
      <c r="B828" t="s">
        <v>109</v>
      </c>
      <c r="C828" t="s">
        <v>49</v>
      </c>
      <c r="D828" t="s">
        <v>51</v>
      </c>
      <c r="E828" t="s">
        <v>51</v>
      </c>
      <c r="F828" t="s">
        <v>51</v>
      </c>
      <c r="G828" t="s">
        <v>52</v>
      </c>
      <c r="H828" t="s">
        <v>52</v>
      </c>
      <c r="I828" t="s">
        <v>52</v>
      </c>
      <c r="J828" t="s">
        <v>590</v>
      </c>
      <c r="K828" t="s">
        <v>52</v>
      </c>
      <c r="L828" t="s">
        <v>664</v>
      </c>
      <c r="M828" t="s">
        <v>654</v>
      </c>
      <c r="N828" t="s">
        <v>163</v>
      </c>
      <c r="O828" t="s">
        <v>149</v>
      </c>
      <c r="P828" t="s">
        <v>149</v>
      </c>
      <c r="Q828" t="s">
        <v>51</v>
      </c>
      <c r="R828" t="s">
        <v>51</v>
      </c>
      <c r="S828" t="s">
        <v>51</v>
      </c>
      <c r="T828" t="s">
        <v>51</v>
      </c>
    </row>
    <row r="829" spans="1:20">
      <c r="A829" t="s">
        <v>629</v>
      </c>
      <c r="B829" t="s">
        <v>111</v>
      </c>
      <c r="C829" t="s">
        <v>49</v>
      </c>
      <c r="D829" t="s">
        <v>51</v>
      </c>
      <c r="E829" t="s">
        <v>51</v>
      </c>
      <c r="F829" t="s">
        <v>51</v>
      </c>
      <c r="G829" t="s">
        <v>52</v>
      </c>
      <c r="H829" t="s">
        <v>52</v>
      </c>
      <c r="I829" t="s">
        <v>52</v>
      </c>
      <c r="J829" t="s">
        <v>590</v>
      </c>
      <c r="K829" t="s">
        <v>52</v>
      </c>
      <c r="L829" t="s">
        <v>664</v>
      </c>
      <c r="M829" t="s">
        <v>654</v>
      </c>
      <c r="N829" t="s">
        <v>163</v>
      </c>
      <c r="O829" t="s">
        <v>149</v>
      </c>
      <c r="P829" t="s">
        <v>149</v>
      </c>
      <c r="Q829" t="s">
        <v>51</v>
      </c>
      <c r="R829" t="s">
        <v>51</v>
      </c>
      <c r="S829" t="s">
        <v>51</v>
      </c>
      <c r="T829" t="s">
        <v>51</v>
      </c>
    </row>
    <row r="830" spans="1:20">
      <c r="A830" t="s">
        <v>630</v>
      </c>
      <c r="B830" t="s">
        <v>113</v>
      </c>
      <c r="C830" t="s">
        <v>49</v>
      </c>
      <c r="D830" t="s">
        <v>51</v>
      </c>
      <c r="E830" t="s">
        <v>51</v>
      </c>
      <c r="F830" t="s">
        <v>51</v>
      </c>
      <c r="G830" t="s">
        <v>52</v>
      </c>
      <c r="H830" t="s">
        <v>52</v>
      </c>
      <c r="I830" t="s">
        <v>52</v>
      </c>
      <c r="J830" t="s">
        <v>590</v>
      </c>
      <c r="K830" t="s">
        <v>52</v>
      </c>
      <c r="L830" t="s">
        <v>664</v>
      </c>
      <c r="M830" t="s">
        <v>654</v>
      </c>
      <c r="N830" t="s">
        <v>163</v>
      </c>
      <c r="O830" t="s">
        <v>149</v>
      </c>
      <c r="P830" t="s">
        <v>149</v>
      </c>
      <c r="Q830" t="s">
        <v>51</v>
      </c>
      <c r="R830" t="s">
        <v>51</v>
      </c>
      <c r="S830" t="s">
        <v>51</v>
      </c>
      <c r="T830" t="s">
        <v>51</v>
      </c>
    </row>
    <row r="831" spans="1:20">
      <c r="A831" t="s">
        <v>631</v>
      </c>
      <c r="B831" t="s">
        <v>115</v>
      </c>
      <c r="C831" t="s">
        <v>49</v>
      </c>
      <c r="D831" t="s">
        <v>51</v>
      </c>
      <c r="E831" t="s">
        <v>51</v>
      </c>
      <c r="F831" t="s">
        <v>51</v>
      </c>
      <c r="G831" t="s">
        <v>52</v>
      </c>
      <c r="H831" t="s">
        <v>52</v>
      </c>
      <c r="I831" t="s">
        <v>52</v>
      </c>
      <c r="J831" t="s">
        <v>590</v>
      </c>
      <c r="K831" t="s">
        <v>52</v>
      </c>
      <c r="L831" t="s">
        <v>664</v>
      </c>
      <c r="M831" t="s">
        <v>654</v>
      </c>
      <c r="N831" t="s">
        <v>163</v>
      </c>
      <c r="O831" t="s">
        <v>149</v>
      </c>
      <c r="P831" t="s">
        <v>149</v>
      </c>
      <c r="Q831" t="s">
        <v>51</v>
      </c>
      <c r="R831" t="s">
        <v>51</v>
      </c>
      <c r="S831" t="s">
        <v>51</v>
      </c>
      <c r="T831" t="s">
        <v>51</v>
      </c>
    </row>
    <row r="832" spans="1:20">
      <c r="A832" t="s">
        <v>632</v>
      </c>
      <c r="B832" t="s">
        <v>117</v>
      </c>
      <c r="C832" t="s">
        <v>49</v>
      </c>
      <c r="D832" t="s">
        <v>51</v>
      </c>
      <c r="E832" t="s">
        <v>51</v>
      </c>
      <c r="F832" t="s">
        <v>51</v>
      </c>
      <c r="G832" t="s">
        <v>52</v>
      </c>
      <c r="H832" t="s">
        <v>52</v>
      </c>
      <c r="I832" t="s">
        <v>52</v>
      </c>
      <c r="J832" t="s">
        <v>590</v>
      </c>
      <c r="K832" t="s">
        <v>52</v>
      </c>
      <c r="L832" t="s">
        <v>664</v>
      </c>
      <c r="M832" t="s">
        <v>654</v>
      </c>
      <c r="N832" t="s">
        <v>163</v>
      </c>
      <c r="O832" t="s">
        <v>149</v>
      </c>
      <c r="P832" t="s">
        <v>149</v>
      </c>
      <c r="Q832" t="s">
        <v>51</v>
      </c>
      <c r="R832" t="s">
        <v>51</v>
      </c>
      <c r="S832" t="s">
        <v>51</v>
      </c>
      <c r="T832" t="s">
        <v>51</v>
      </c>
    </row>
    <row r="833" spans="1:20">
      <c r="A833" t="s">
        <v>633</v>
      </c>
      <c r="B833" t="s">
        <v>119</v>
      </c>
      <c r="C833" t="s">
        <v>49</v>
      </c>
      <c r="D833" t="s">
        <v>51</v>
      </c>
      <c r="E833" t="s">
        <v>51</v>
      </c>
      <c r="F833" t="s">
        <v>51</v>
      </c>
      <c r="G833" t="s">
        <v>52</v>
      </c>
      <c r="H833" t="s">
        <v>52</v>
      </c>
      <c r="I833" t="s">
        <v>52</v>
      </c>
      <c r="J833" t="s">
        <v>590</v>
      </c>
      <c r="K833" t="s">
        <v>52</v>
      </c>
      <c r="L833" t="s">
        <v>664</v>
      </c>
      <c r="M833" t="s">
        <v>654</v>
      </c>
      <c r="N833" t="s">
        <v>163</v>
      </c>
      <c r="O833" t="s">
        <v>149</v>
      </c>
      <c r="P833" t="s">
        <v>149</v>
      </c>
      <c r="Q833" t="s">
        <v>51</v>
      </c>
      <c r="R833" t="s">
        <v>51</v>
      </c>
      <c r="S833" t="s">
        <v>51</v>
      </c>
      <c r="T833" t="s">
        <v>51</v>
      </c>
    </row>
    <row r="834" spans="1:20">
      <c r="A834" t="s">
        <v>634</v>
      </c>
      <c r="B834" t="s">
        <v>121</v>
      </c>
      <c r="C834" t="s">
        <v>49</v>
      </c>
      <c r="D834" t="s">
        <v>51</v>
      </c>
      <c r="E834" t="s">
        <v>51</v>
      </c>
      <c r="F834" t="s">
        <v>51</v>
      </c>
      <c r="G834" t="s">
        <v>52</v>
      </c>
      <c r="H834" t="s">
        <v>52</v>
      </c>
      <c r="I834" t="s">
        <v>52</v>
      </c>
      <c r="J834" t="s">
        <v>590</v>
      </c>
      <c r="K834" t="s">
        <v>52</v>
      </c>
      <c r="L834" t="s">
        <v>664</v>
      </c>
      <c r="M834" t="s">
        <v>654</v>
      </c>
      <c r="N834" t="s">
        <v>163</v>
      </c>
      <c r="O834" t="s">
        <v>149</v>
      </c>
      <c r="P834" t="s">
        <v>149</v>
      </c>
      <c r="Q834" t="s">
        <v>51</v>
      </c>
      <c r="R834" t="s">
        <v>51</v>
      </c>
      <c r="S834" t="s">
        <v>51</v>
      </c>
      <c r="T834" t="s">
        <v>51</v>
      </c>
    </row>
    <row r="835" spans="1:20">
      <c r="A835" t="s">
        <v>635</v>
      </c>
      <c r="B835" t="s">
        <v>123</v>
      </c>
      <c r="C835" t="s">
        <v>49</v>
      </c>
      <c r="D835" t="s">
        <v>51</v>
      </c>
      <c r="E835" t="s">
        <v>51</v>
      </c>
      <c r="F835" t="s">
        <v>51</v>
      </c>
      <c r="G835" t="s">
        <v>52</v>
      </c>
      <c r="H835" t="s">
        <v>52</v>
      </c>
      <c r="I835" t="s">
        <v>52</v>
      </c>
      <c r="J835" t="s">
        <v>590</v>
      </c>
      <c r="K835" t="s">
        <v>52</v>
      </c>
      <c r="L835" t="s">
        <v>664</v>
      </c>
      <c r="M835" t="s">
        <v>654</v>
      </c>
      <c r="N835" t="s">
        <v>163</v>
      </c>
      <c r="O835" t="s">
        <v>149</v>
      </c>
      <c r="P835" t="s">
        <v>149</v>
      </c>
      <c r="Q835" t="s">
        <v>51</v>
      </c>
      <c r="R835" t="s">
        <v>51</v>
      </c>
      <c r="S835" t="s">
        <v>51</v>
      </c>
      <c r="T835" t="s">
        <v>51</v>
      </c>
    </row>
    <row r="836" spans="1:20">
      <c r="A836" t="s">
        <v>636</v>
      </c>
      <c r="B836" t="s">
        <v>125</v>
      </c>
      <c r="C836" t="s">
        <v>49</v>
      </c>
      <c r="D836" t="s">
        <v>51</v>
      </c>
      <c r="E836" t="s">
        <v>51</v>
      </c>
      <c r="F836" t="s">
        <v>51</v>
      </c>
      <c r="G836" t="s">
        <v>52</v>
      </c>
      <c r="H836" t="s">
        <v>52</v>
      </c>
      <c r="I836" t="s">
        <v>52</v>
      </c>
      <c r="J836" t="s">
        <v>590</v>
      </c>
      <c r="K836" t="s">
        <v>52</v>
      </c>
      <c r="L836" t="s">
        <v>664</v>
      </c>
      <c r="M836" t="s">
        <v>654</v>
      </c>
      <c r="N836" t="s">
        <v>163</v>
      </c>
      <c r="O836" t="s">
        <v>149</v>
      </c>
      <c r="P836" t="s">
        <v>149</v>
      </c>
      <c r="Q836" t="s">
        <v>51</v>
      </c>
      <c r="R836" t="s">
        <v>51</v>
      </c>
      <c r="S836" t="s">
        <v>51</v>
      </c>
      <c r="T836" t="s">
        <v>51</v>
      </c>
    </row>
    <row r="837" spans="1:20">
      <c r="A837" t="s">
        <v>637</v>
      </c>
      <c r="B837" t="s">
        <v>127</v>
      </c>
      <c r="C837" t="s">
        <v>49</v>
      </c>
      <c r="D837" t="s">
        <v>51</v>
      </c>
      <c r="E837" t="s">
        <v>51</v>
      </c>
      <c r="F837" t="s">
        <v>51</v>
      </c>
      <c r="G837" t="s">
        <v>52</v>
      </c>
      <c r="H837" t="s">
        <v>52</v>
      </c>
      <c r="I837" t="s">
        <v>52</v>
      </c>
      <c r="J837" t="s">
        <v>590</v>
      </c>
      <c r="K837" t="s">
        <v>52</v>
      </c>
      <c r="L837" t="s">
        <v>664</v>
      </c>
      <c r="M837" t="s">
        <v>654</v>
      </c>
      <c r="N837" t="s">
        <v>163</v>
      </c>
      <c r="O837" t="s">
        <v>149</v>
      </c>
      <c r="P837" t="s">
        <v>149</v>
      </c>
      <c r="Q837" t="s">
        <v>51</v>
      </c>
      <c r="R837" t="s">
        <v>51</v>
      </c>
      <c r="S837" t="s">
        <v>51</v>
      </c>
      <c r="T837" t="s">
        <v>51</v>
      </c>
    </row>
    <row r="838" spans="1:20">
      <c r="A838" t="s">
        <v>638</v>
      </c>
      <c r="B838" t="s">
        <v>129</v>
      </c>
      <c r="C838" t="s">
        <v>49</v>
      </c>
      <c r="D838" t="s">
        <v>51</v>
      </c>
      <c r="E838" t="s">
        <v>51</v>
      </c>
      <c r="F838" t="s">
        <v>51</v>
      </c>
      <c r="G838" t="s">
        <v>52</v>
      </c>
      <c r="H838" t="s">
        <v>52</v>
      </c>
      <c r="I838" t="s">
        <v>52</v>
      </c>
      <c r="J838" t="s">
        <v>590</v>
      </c>
      <c r="K838" t="s">
        <v>52</v>
      </c>
      <c r="L838" t="s">
        <v>664</v>
      </c>
      <c r="M838" t="s">
        <v>654</v>
      </c>
      <c r="N838" t="s">
        <v>163</v>
      </c>
      <c r="O838" t="s">
        <v>149</v>
      </c>
      <c r="P838" t="s">
        <v>149</v>
      </c>
      <c r="Q838" t="s">
        <v>51</v>
      </c>
      <c r="R838" t="s">
        <v>51</v>
      </c>
      <c r="S838" t="s">
        <v>51</v>
      </c>
      <c r="T838" t="s">
        <v>51</v>
      </c>
    </row>
    <row r="839" spans="1:20">
      <c r="A839" t="s">
        <v>639</v>
      </c>
      <c r="B839" t="s">
        <v>131</v>
      </c>
      <c r="C839" t="s">
        <v>49</v>
      </c>
      <c r="D839" t="s">
        <v>51</v>
      </c>
      <c r="E839" t="s">
        <v>51</v>
      </c>
      <c r="F839" t="s">
        <v>51</v>
      </c>
      <c r="G839" t="s">
        <v>52</v>
      </c>
      <c r="H839" t="s">
        <v>52</v>
      </c>
      <c r="I839" t="s">
        <v>52</v>
      </c>
      <c r="J839" t="s">
        <v>590</v>
      </c>
      <c r="K839" t="s">
        <v>52</v>
      </c>
      <c r="L839" t="s">
        <v>664</v>
      </c>
      <c r="M839" t="s">
        <v>654</v>
      </c>
      <c r="N839" t="s">
        <v>163</v>
      </c>
      <c r="O839" t="s">
        <v>149</v>
      </c>
      <c r="P839" t="s">
        <v>149</v>
      </c>
      <c r="Q839" t="s">
        <v>51</v>
      </c>
      <c r="R839" t="s">
        <v>51</v>
      </c>
      <c r="S839" t="s">
        <v>51</v>
      </c>
      <c r="T839" t="s">
        <v>51</v>
      </c>
    </row>
    <row r="840" spans="1:20">
      <c r="A840" t="s">
        <v>640</v>
      </c>
      <c r="B840" t="s">
        <v>133</v>
      </c>
      <c r="C840" t="s">
        <v>49</v>
      </c>
      <c r="D840" t="s">
        <v>51</v>
      </c>
      <c r="E840" t="s">
        <v>51</v>
      </c>
      <c r="F840" t="s">
        <v>51</v>
      </c>
      <c r="G840" t="s">
        <v>52</v>
      </c>
      <c r="H840" t="s">
        <v>52</v>
      </c>
      <c r="I840" t="s">
        <v>52</v>
      </c>
      <c r="J840" t="s">
        <v>590</v>
      </c>
      <c r="K840" t="s">
        <v>52</v>
      </c>
      <c r="L840" t="s">
        <v>664</v>
      </c>
      <c r="M840" t="s">
        <v>654</v>
      </c>
      <c r="N840" t="s">
        <v>163</v>
      </c>
      <c r="O840" t="s">
        <v>149</v>
      </c>
      <c r="P840" t="s">
        <v>149</v>
      </c>
      <c r="Q840" t="s">
        <v>51</v>
      </c>
      <c r="R840" t="s">
        <v>51</v>
      </c>
      <c r="S840" t="s">
        <v>51</v>
      </c>
      <c r="T840" t="s">
        <v>51</v>
      </c>
    </row>
    <row r="841" spans="1:20">
      <c r="A841" t="s">
        <v>641</v>
      </c>
      <c r="B841" t="s">
        <v>135</v>
      </c>
      <c r="C841" t="s">
        <v>49</v>
      </c>
      <c r="D841" t="s">
        <v>51</v>
      </c>
      <c r="E841" t="s">
        <v>51</v>
      </c>
      <c r="F841" t="s">
        <v>51</v>
      </c>
      <c r="G841" t="s">
        <v>52</v>
      </c>
      <c r="H841" t="s">
        <v>52</v>
      </c>
      <c r="I841" t="s">
        <v>52</v>
      </c>
      <c r="J841" t="s">
        <v>590</v>
      </c>
      <c r="K841" t="s">
        <v>52</v>
      </c>
      <c r="L841" t="s">
        <v>664</v>
      </c>
      <c r="M841" t="s">
        <v>654</v>
      </c>
      <c r="N841" t="s">
        <v>163</v>
      </c>
      <c r="O841" t="s">
        <v>149</v>
      </c>
      <c r="P841" t="s">
        <v>149</v>
      </c>
      <c r="Q841" t="s">
        <v>51</v>
      </c>
      <c r="R841" t="s">
        <v>51</v>
      </c>
      <c r="S841" t="s">
        <v>51</v>
      </c>
      <c r="T841" t="s">
        <v>51</v>
      </c>
    </row>
    <row r="842" spans="1:20">
      <c r="A842" t="s">
        <v>642</v>
      </c>
      <c r="B842" t="s">
        <v>137</v>
      </c>
      <c r="C842" t="s">
        <v>49</v>
      </c>
      <c r="D842" t="s">
        <v>51</v>
      </c>
      <c r="E842" t="s">
        <v>51</v>
      </c>
      <c r="F842" t="s">
        <v>51</v>
      </c>
      <c r="G842" t="s">
        <v>52</v>
      </c>
      <c r="H842" t="s">
        <v>52</v>
      </c>
      <c r="I842" t="s">
        <v>52</v>
      </c>
      <c r="J842" t="s">
        <v>590</v>
      </c>
      <c r="K842" t="s">
        <v>52</v>
      </c>
      <c r="L842" t="s">
        <v>664</v>
      </c>
      <c r="M842" t="s">
        <v>654</v>
      </c>
      <c r="N842" t="s">
        <v>163</v>
      </c>
      <c r="O842" t="s">
        <v>149</v>
      </c>
      <c r="P842" t="s">
        <v>149</v>
      </c>
      <c r="Q842" t="s">
        <v>51</v>
      </c>
      <c r="R842" t="s">
        <v>51</v>
      </c>
      <c r="S842" t="s">
        <v>51</v>
      </c>
      <c r="T842" t="s">
        <v>51</v>
      </c>
    </row>
    <row r="843" spans="1:20">
      <c r="A843" t="s">
        <v>643</v>
      </c>
      <c r="B843" t="s">
        <v>139</v>
      </c>
      <c r="C843" t="s">
        <v>49</v>
      </c>
      <c r="D843" t="s">
        <v>51</v>
      </c>
      <c r="E843" t="s">
        <v>51</v>
      </c>
      <c r="F843" t="s">
        <v>51</v>
      </c>
      <c r="G843" t="s">
        <v>52</v>
      </c>
      <c r="H843" t="s">
        <v>52</v>
      </c>
      <c r="I843" t="s">
        <v>52</v>
      </c>
      <c r="J843" t="s">
        <v>590</v>
      </c>
      <c r="K843" t="s">
        <v>52</v>
      </c>
      <c r="L843" t="s">
        <v>664</v>
      </c>
      <c r="M843" t="s">
        <v>654</v>
      </c>
      <c r="N843" t="s">
        <v>163</v>
      </c>
      <c r="O843" t="s">
        <v>149</v>
      </c>
      <c r="P843" t="s">
        <v>149</v>
      </c>
      <c r="Q843" t="s">
        <v>51</v>
      </c>
      <c r="R843" t="s">
        <v>51</v>
      </c>
      <c r="S843" t="s">
        <v>51</v>
      </c>
      <c r="T843" t="s">
        <v>51</v>
      </c>
    </row>
    <row r="844" spans="1:20">
      <c r="A844" t="s">
        <v>644</v>
      </c>
      <c r="B844" t="s">
        <v>141</v>
      </c>
      <c r="C844" t="s">
        <v>49</v>
      </c>
      <c r="D844" t="s">
        <v>51</v>
      </c>
      <c r="E844" t="s">
        <v>51</v>
      </c>
      <c r="F844" t="s">
        <v>51</v>
      </c>
      <c r="G844" t="s">
        <v>52</v>
      </c>
      <c r="H844" t="s">
        <v>52</v>
      </c>
      <c r="I844" t="s">
        <v>52</v>
      </c>
      <c r="J844" t="s">
        <v>590</v>
      </c>
      <c r="K844" t="s">
        <v>52</v>
      </c>
      <c r="L844" t="s">
        <v>664</v>
      </c>
      <c r="M844" t="s">
        <v>654</v>
      </c>
      <c r="N844" t="s">
        <v>163</v>
      </c>
      <c r="O844" t="s">
        <v>149</v>
      </c>
      <c r="P844" t="s">
        <v>149</v>
      </c>
      <c r="Q844" t="s">
        <v>51</v>
      </c>
      <c r="R844" t="s">
        <v>51</v>
      </c>
      <c r="S844" t="s">
        <v>51</v>
      </c>
      <c r="T844" t="s">
        <v>51</v>
      </c>
    </row>
    <row r="845" spans="1:20">
      <c r="A845" t="s">
        <v>645</v>
      </c>
      <c r="B845" t="s">
        <v>143</v>
      </c>
      <c r="C845" t="s">
        <v>49</v>
      </c>
      <c r="D845" t="s">
        <v>51</v>
      </c>
      <c r="E845" t="s">
        <v>51</v>
      </c>
      <c r="F845" t="s">
        <v>51</v>
      </c>
      <c r="G845" t="s">
        <v>52</v>
      </c>
      <c r="H845" t="s">
        <v>52</v>
      </c>
      <c r="I845" t="s">
        <v>52</v>
      </c>
      <c r="J845" t="s">
        <v>590</v>
      </c>
      <c r="K845" t="s">
        <v>52</v>
      </c>
      <c r="L845" t="s">
        <v>664</v>
      </c>
      <c r="M845" t="s">
        <v>654</v>
      </c>
      <c r="N845" t="s">
        <v>163</v>
      </c>
      <c r="O845" t="s">
        <v>149</v>
      </c>
      <c r="P845" t="s">
        <v>149</v>
      </c>
      <c r="Q845" t="s">
        <v>51</v>
      </c>
      <c r="R845" t="s">
        <v>51</v>
      </c>
      <c r="S845" t="s">
        <v>51</v>
      </c>
      <c r="T845" t="s">
        <v>51</v>
      </c>
    </row>
    <row r="846" spans="1:20">
      <c r="A846" t="s">
        <v>646</v>
      </c>
      <c r="B846" t="s">
        <v>145</v>
      </c>
      <c r="C846" t="s">
        <v>49</v>
      </c>
      <c r="D846" t="s">
        <v>51</v>
      </c>
      <c r="E846" t="s">
        <v>51</v>
      </c>
      <c r="F846" t="s">
        <v>51</v>
      </c>
      <c r="G846" t="s">
        <v>52</v>
      </c>
      <c r="H846" t="s">
        <v>52</v>
      </c>
      <c r="I846" t="s">
        <v>52</v>
      </c>
      <c r="J846" t="s">
        <v>590</v>
      </c>
      <c r="K846" t="s">
        <v>52</v>
      </c>
      <c r="L846" t="s">
        <v>664</v>
      </c>
      <c r="M846" t="s">
        <v>654</v>
      </c>
      <c r="N846" t="s">
        <v>163</v>
      </c>
      <c r="O846" t="s">
        <v>149</v>
      </c>
      <c r="P846" t="s">
        <v>149</v>
      </c>
      <c r="Q846" t="s">
        <v>51</v>
      </c>
      <c r="R846" t="s">
        <v>51</v>
      </c>
      <c r="S846" t="s">
        <v>51</v>
      </c>
      <c r="T846" t="s">
        <v>51</v>
      </c>
    </row>
    <row r="847" spans="1:20">
      <c r="A847" t="s">
        <v>647</v>
      </c>
      <c r="B847" t="s">
        <v>147</v>
      </c>
      <c r="C847" t="s">
        <v>49</v>
      </c>
      <c r="D847" t="s">
        <v>51</v>
      </c>
      <c r="E847" t="s">
        <v>51</v>
      </c>
      <c r="F847" t="s">
        <v>51</v>
      </c>
      <c r="G847" t="s">
        <v>52</v>
      </c>
      <c r="H847" t="s">
        <v>52</v>
      </c>
      <c r="I847" t="s">
        <v>52</v>
      </c>
      <c r="J847" t="s">
        <v>590</v>
      </c>
      <c r="K847" t="s">
        <v>52</v>
      </c>
      <c r="L847" t="s">
        <v>664</v>
      </c>
      <c r="M847" t="s">
        <v>654</v>
      </c>
      <c r="N847" t="s">
        <v>163</v>
      </c>
      <c r="O847" t="s">
        <v>149</v>
      </c>
      <c r="P847" t="s">
        <v>149</v>
      </c>
      <c r="Q847" t="s">
        <v>51</v>
      </c>
      <c r="R847" t="s">
        <v>51</v>
      </c>
      <c r="S847" t="s">
        <v>51</v>
      </c>
      <c r="T847" t="s">
        <v>51</v>
      </c>
    </row>
    <row r="848" spans="1:20">
      <c r="A848" t="s">
        <v>648</v>
      </c>
      <c r="B848" t="s">
        <v>149</v>
      </c>
      <c r="C848" t="s">
        <v>49</v>
      </c>
      <c r="D848" t="s">
        <v>51</v>
      </c>
      <c r="E848" t="s">
        <v>51</v>
      </c>
      <c r="F848" t="s">
        <v>51</v>
      </c>
      <c r="G848" t="s">
        <v>52</v>
      </c>
      <c r="H848" t="s">
        <v>52</v>
      </c>
      <c r="I848" t="s">
        <v>52</v>
      </c>
      <c r="J848" t="s">
        <v>590</v>
      </c>
      <c r="K848" t="s">
        <v>52</v>
      </c>
      <c r="L848" t="s">
        <v>664</v>
      </c>
      <c r="M848" t="s">
        <v>654</v>
      </c>
      <c r="N848" t="s">
        <v>163</v>
      </c>
      <c r="O848" t="s">
        <v>149</v>
      </c>
      <c r="P848" t="s">
        <v>149</v>
      </c>
      <c r="Q848" t="s">
        <v>51</v>
      </c>
      <c r="R848" t="s">
        <v>51</v>
      </c>
      <c r="S848" t="s">
        <v>51</v>
      </c>
      <c r="T848" t="s">
        <v>51</v>
      </c>
    </row>
    <row r="849" spans="1:20">
      <c r="A849" t="s">
        <v>649</v>
      </c>
      <c r="B849" t="s">
        <v>151</v>
      </c>
      <c r="C849" t="s">
        <v>49</v>
      </c>
      <c r="D849" t="s">
        <v>51</v>
      </c>
      <c r="E849" t="s">
        <v>51</v>
      </c>
      <c r="F849" t="s">
        <v>51</v>
      </c>
      <c r="G849" t="s">
        <v>52</v>
      </c>
      <c r="H849" t="s">
        <v>52</v>
      </c>
      <c r="I849" t="s">
        <v>52</v>
      </c>
      <c r="J849" t="s">
        <v>590</v>
      </c>
      <c r="K849" t="s">
        <v>52</v>
      </c>
      <c r="L849" t="s">
        <v>664</v>
      </c>
      <c r="M849" t="s">
        <v>654</v>
      </c>
      <c r="N849" t="s">
        <v>163</v>
      </c>
      <c r="O849" t="s">
        <v>149</v>
      </c>
      <c r="P849" t="s">
        <v>149</v>
      </c>
      <c r="Q849" t="s">
        <v>51</v>
      </c>
      <c r="R849" t="s">
        <v>51</v>
      </c>
      <c r="S849" t="s">
        <v>51</v>
      </c>
      <c r="T849" t="s">
        <v>51</v>
      </c>
    </row>
    <row r="850" spans="1:20">
      <c r="A850" t="s">
        <v>650</v>
      </c>
      <c r="B850" t="s">
        <v>153</v>
      </c>
      <c r="C850" t="s">
        <v>49</v>
      </c>
      <c r="D850" t="s">
        <v>51</v>
      </c>
      <c r="E850" t="s">
        <v>51</v>
      </c>
      <c r="F850" t="s">
        <v>51</v>
      </c>
      <c r="G850" t="s">
        <v>52</v>
      </c>
      <c r="H850" t="s">
        <v>52</v>
      </c>
      <c r="I850" t="s">
        <v>52</v>
      </c>
      <c r="J850" t="s">
        <v>590</v>
      </c>
      <c r="K850" t="s">
        <v>52</v>
      </c>
      <c r="L850" t="s">
        <v>664</v>
      </c>
      <c r="M850" t="s">
        <v>654</v>
      </c>
      <c r="N850" t="s">
        <v>163</v>
      </c>
      <c r="O850" t="s">
        <v>149</v>
      </c>
      <c r="P850" t="s">
        <v>149</v>
      </c>
      <c r="Q850" t="s">
        <v>51</v>
      </c>
      <c r="R850" t="s">
        <v>51</v>
      </c>
      <c r="S850" t="s">
        <v>51</v>
      </c>
      <c r="T850" t="s">
        <v>51</v>
      </c>
    </row>
    <row r="851" spans="1:20">
      <c r="A851" t="s">
        <v>588</v>
      </c>
      <c r="B851" t="s">
        <v>589</v>
      </c>
      <c r="C851" t="s">
        <v>165</v>
      </c>
      <c r="D851" t="s">
        <v>50</v>
      </c>
      <c r="E851" t="s">
        <v>51</v>
      </c>
      <c r="F851" t="s">
        <v>51</v>
      </c>
      <c r="G851" t="s">
        <v>52</v>
      </c>
      <c r="H851" t="s">
        <v>52</v>
      </c>
      <c r="I851" t="s">
        <v>52</v>
      </c>
      <c r="J851" t="s">
        <v>52</v>
      </c>
      <c r="K851" t="s">
        <v>52</v>
      </c>
      <c r="L851" t="s">
        <v>665</v>
      </c>
      <c r="M851" t="s">
        <v>654</v>
      </c>
      <c r="N851" t="s">
        <v>163</v>
      </c>
      <c r="O851" t="s">
        <v>151</v>
      </c>
      <c r="P851" t="s">
        <v>151</v>
      </c>
      <c r="Q851" t="s">
        <v>51</v>
      </c>
      <c r="R851" t="s">
        <v>51</v>
      </c>
      <c r="S851" t="s">
        <v>51</v>
      </c>
      <c r="T851" t="s">
        <v>51</v>
      </c>
    </row>
    <row r="852" spans="1:20">
      <c r="A852" t="s">
        <v>612</v>
      </c>
      <c r="B852" t="s">
        <v>77</v>
      </c>
      <c r="C852" t="s">
        <v>49</v>
      </c>
      <c r="D852" t="s">
        <v>51</v>
      </c>
      <c r="E852" t="s">
        <v>51</v>
      </c>
      <c r="F852" t="s">
        <v>51</v>
      </c>
      <c r="G852" t="s">
        <v>52</v>
      </c>
      <c r="H852" t="s">
        <v>52</v>
      </c>
      <c r="I852" t="s">
        <v>52</v>
      </c>
      <c r="J852" t="s">
        <v>590</v>
      </c>
      <c r="K852" t="s">
        <v>52</v>
      </c>
      <c r="L852" t="s">
        <v>665</v>
      </c>
      <c r="M852" t="s">
        <v>654</v>
      </c>
      <c r="N852" t="s">
        <v>163</v>
      </c>
      <c r="O852" t="s">
        <v>151</v>
      </c>
      <c r="P852" t="s">
        <v>151</v>
      </c>
      <c r="Q852" t="s">
        <v>51</v>
      </c>
      <c r="R852" t="s">
        <v>51</v>
      </c>
      <c r="S852" t="s">
        <v>51</v>
      </c>
      <c r="T852" t="s">
        <v>51</v>
      </c>
    </row>
    <row r="853" spans="1:20">
      <c r="A853" t="s">
        <v>613</v>
      </c>
      <c r="B853" t="s">
        <v>79</v>
      </c>
      <c r="C853" t="s">
        <v>49</v>
      </c>
      <c r="D853" t="s">
        <v>51</v>
      </c>
      <c r="E853" t="s">
        <v>51</v>
      </c>
      <c r="F853" t="s">
        <v>51</v>
      </c>
      <c r="G853" t="s">
        <v>52</v>
      </c>
      <c r="H853" t="s">
        <v>52</v>
      </c>
      <c r="I853" t="s">
        <v>52</v>
      </c>
      <c r="J853" t="s">
        <v>590</v>
      </c>
      <c r="K853" t="s">
        <v>52</v>
      </c>
      <c r="L853" t="s">
        <v>665</v>
      </c>
      <c r="M853" t="s">
        <v>654</v>
      </c>
      <c r="N853" t="s">
        <v>163</v>
      </c>
      <c r="O853" t="s">
        <v>151</v>
      </c>
      <c r="P853" t="s">
        <v>151</v>
      </c>
      <c r="Q853" t="s">
        <v>51</v>
      </c>
      <c r="R853" t="s">
        <v>51</v>
      </c>
      <c r="S853" t="s">
        <v>51</v>
      </c>
      <c r="T853" t="s">
        <v>51</v>
      </c>
    </row>
    <row r="854" spans="1:20">
      <c r="A854" t="s">
        <v>614</v>
      </c>
      <c r="B854" t="s">
        <v>81</v>
      </c>
      <c r="C854" t="s">
        <v>49</v>
      </c>
      <c r="D854" t="s">
        <v>51</v>
      </c>
      <c r="E854" t="s">
        <v>51</v>
      </c>
      <c r="F854" t="s">
        <v>51</v>
      </c>
      <c r="G854" t="s">
        <v>52</v>
      </c>
      <c r="H854" t="s">
        <v>52</v>
      </c>
      <c r="I854" t="s">
        <v>52</v>
      </c>
      <c r="J854" t="s">
        <v>590</v>
      </c>
      <c r="K854" t="s">
        <v>52</v>
      </c>
      <c r="L854" t="s">
        <v>665</v>
      </c>
      <c r="M854" t="s">
        <v>654</v>
      </c>
      <c r="N854" t="s">
        <v>163</v>
      </c>
      <c r="O854" t="s">
        <v>151</v>
      </c>
      <c r="P854" t="s">
        <v>151</v>
      </c>
      <c r="Q854" t="s">
        <v>51</v>
      </c>
      <c r="R854" t="s">
        <v>51</v>
      </c>
      <c r="S854" t="s">
        <v>51</v>
      </c>
      <c r="T854" t="s">
        <v>51</v>
      </c>
    </row>
    <row r="855" spans="1:20">
      <c r="A855" t="s">
        <v>615</v>
      </c>
      <c r="B855" t="s">
        <v>83</v>
      </c>
      <c r="C855" t="s">
        <v>49</v>
      </c>
      <c r="D855" t="s">
        <v>51</v>
      </c>
      <c r="E855" t="s">
        <v>51</v>
      </c>
      <c r="F855" t="s">
        <v>51</v>
      </c>
      <c r="G855" t="s">
        <v>52</v>
      </c>
      <c r="H855" t="s">
        <v>52</v>
      </c>
      <c r="I855" t="s">
        <v>52</v>
      </c>
      <c r="J855" t="s">
        <v>590</v>
      </c>
      <c r="K855" t="s">
        <v>52</v>
      </c>
      <c r="L855" t="s">
        <v>665</v>
      </c>
      <c r="M855" t="s">
        <v>654</v>
      </c>
      <c r="N855" t="s">
        <v>163</v>
      </c>
      <c r="O855" t="s">
        <v>151</v>
      </c>
      <c r="P855" t="s">
        <v>151</v>
      </c>
      <c r="Q855" t="s">
        <v>51</v>
      </c>
      <c r="R855" t="s">
        <v>51</v>
      </c>
      <c r="S855" t="s">
        <v>51</v>
      </c>
      <c r="T855" t="s">
        <v>51</v>
      </c>
    </row>
    <row r="856" spans="1:20">
      <c r="A856" t="s">
        <v>616</v>
      </c>
      <c r="B856" t="s">
        <v>85</v>
      </c>
      <c r="C856" t="s">
        <v>49</v>
      </c>
      <c r="D856" t="s">
        <v>51</v>
      </c>
      <c r="E856" t="s">
        <v>51</v>
      </c>
      <c r="F856" t="s">
        <v>51</v>
      </c>
      <c r="G856" t="s">
        <v>52</v>
      </c>
      <c r="H856" t="s">
        <v>52</v>
      </c>
      <c r="I856" t="s">
        <v>52</v>
      </c>
      <c r="J856" t="s">
        <v>590</v>
      </c>
      <c r="K856" t="s">
        <v>52</v>
      </c>
      <c r="L856" t="s">
        <v>665</v>
      </c>
      <c r="M856" t="s">
        <v>654</v>
      </c>
      <c r="N856" t="s">
        <v>163</v>
      </c>
      <c r="O856" t="s">
        <v>151</v>
      </c>
      <c r="P856" t="s">
        <v>151</v>
      </c>
      <c r="Q856" t="s">
        <v>51</v>
      </c>
      <c r="R856" t="s">
        <v>51</v>
      </c>
      <c r="S856" t="s">
        <v>51</v>
      </c>
      <c r="T856" t="s">
        <v>51</v>
      </c>
    </row>
    <row r="857" spans="1:20">
      <c r="A857" t="s">
        <v>617</v>
      </c>
      <c r="B857" t="s">
        <v>87</v>
      </c>
      <c r="C857" t="s">
        <v>49</v>
      </c>
      <c r="D857" t="s">
        <v>51</v>
      </c>
      <c r="E857" t="s">
        <v>51</v>
      </c>
      <c r="F857" t="s">
        <v>51</v>
      </c>
      <c r="G857" t="s">
        <v>52</v>
      </c>
      <c r="H857" t="s">
        <v>52</v>
      </c>
      <c r="I857" t="s">
        <v>52</v>
      </c>
      <c r="J857" t="s">
        <v>590</v>
      </c>
      <c r="K857" t="s">
        <v>52</v>
      </c>
      <c r="L857" t="s">
        <v>665</v>
      </c>
      <c r="M857" t="s">
        <v>654</v>
      </c>
      <c r="N857" t="s">
        <v>163</v>
      </c>
      <c r="O857" t="s">
        <v>151</v>
      </c>
      <c r="P857" t="s">
        <v>151</v>
      </c>
      <c r="Q857" t="s">
        <v>51</v>
      </c>
      <c r="R857" t="s">
        <v>51</v>
      </c>
      <c r="S857" t="s">
        <v>51</v>
      </c>
      <c r="T857" t="s">
        <v>51</v>
      </c>
    </row>
    <row r="858" spans="1:20">
      <c r="A858" t="s">
        <v>618</v>
      </c>
      <c r="B858" t="s">
        <v>89</v>
      </c>
      <c r="C858" t="s">
        <v>49</v>
      </c>
      <c r="D858" t="s">
        <v>51</v>
      </c>
      <c r="E858" t="s">
        <v>51</v>
      </c>
      <c r="F858" t="s">
        <v>51</v>
      </c>
      <c r="G858" t="s">
        <v>52</v>
      </c>
      <c r="H858" t="s">
        <v>52</v>
      </c>
      <c r="I858" t="s">
        <v>52</v>
      </c>
      <c r="J858" t="s">
        <v>590</v>
      </c>
      <c r="K858" t="s">
        <v>52</v>
      </c>
      <c r="L858" t="s">
        <v>665</v>
      </c>
      <c r="M858" t="s">
        <v>654</v>
      </c>
      <c r="N858" t="s">
        <v>163</v>
      </c>
      <c r="O858" t="s">
        <v>151</v>
      </c>
      <c r="P858" t="s">
        <v>151</v>
      </c>
      <c r="Q858" t="s">
        <v>51</v>
      </c>
      <c r="R858" t="s">
        <v>51</v>
      </c>
      <c r="S858" t="s">
        <v>51</v>
      </c>
      <c r="T858" t="s">
        <v>51</v>
      </c>
    </row>
    <row r="859" spans="1:20">
      <c r="A859" t="s">
        <v>619</v>
      </c>
      <c r="B859" t="s">
        <v>91</v>
      </c>
      <c r="C859" t="s">
        <v>49</v>
      </c>
      <c r="D859" t="s">
        <v>51</v>
      </c>
      <c r="E859" t="s">
        <v>51</v>
      </c>
      <c r="F859" t="s">
        <v>51</v>
      </c>
      <c r="G859" t="s">
        <v>52</v>
      </c>
      <c r="H859" t="s">
        <v>52</v>
      </c>
      <c r="I859" t="s">
        <v>52</v>
      </c>
      <c r="J859" t="s">
        <v>590</v>
      </c>
      <c r="K859" t="s">
        <v>52</v>
      </c>
      <c r="L859" t="s">
        <v>665</v>
      </c>
      <c r="M859" t="s">
        <v>654</v>
      </c>
      <c r="N859" t="s">
        <v>163</v>
      </c>
      <c r="O859" t="s">
        <v>151</v>
      </c>
      <c r="P859" t="s">
        <v>151</v>
      </c>
      <c r="Q859" t="s">
        <v>51</v>
      </c>
      <c r="R859" t="s">
        <v>51</v>
      </c>
      <c r="S859" t="s">
        <v>51</v>
      </c>
      <c r="T859" t="s">
        <v>51</v>
      </c>
    </row>
    <row r="860" spans="1:20">
      <c r="A860" t="s">
        <v>620</v>
      </c>
      <c r="B860" t="s">
        <v>93</v>
      </c>
      <c r="C860" t="s">
        <v>49</v>
      </c>
      <c r="D860" t="s">
        <v>51</v>
      </c>
      <c r="E860" t="s">
        <v>51</v>
      </c>
      <c r="F860" t="s">
        <v>51</v>
      </c>
      <c r="G860" t="s">
        <v>52</v>
      </c>
      <c r="H860" t="s">
        <v>52</v>
      </c>
      <c r="I860" t="s">
        <v>52</v>
      </c>
      <c r="J860" t="s">
        <v>590</v>
      </c>
      <c r="K860" t="s">
        <v>52</v>
      </c>
      <c r="L860" t="s">
        <v>665</v>
      </c>
      <c r="M860" t="s">
        <v>654</v>
      </c>
      <c r="N860" t="s">
        <v>163</v>
      </c>
      <c r="O860" t="s">
        <v>151</v>
      </c>
      <c r="P860" t="s">
        <v>151</v>
      </c>
      <c r="Q860" t="s">
        <v>51</v>
      </c>
      <c r="R860" t="s">
        <v>51</v>
      </c>
      <c r="S860" t="s">
        <v>51</v>
      </c>
      <c r="T860" t="s">
        <v>51</v>
      </c>
    </row>
    <row r="861" spans="1:20">
      <c r="A861" t="s">
        <v>621</v>
      </c>
      <c r="B861" t="s">
        <v>95</v>
      </c>
      <c r="C861" t="s">
        <v>49</v>
      </c>
      <c r="D861" t="s">
        <v>51</v>
      </c>
      <c r="E861" t="s">
        <v>51</v>
      </c>
      <c r="F861" t="s">
        <v>51</v>
      </c>
      <c r="G861" t="s">
        <v>52</v>
      </c>
      <c r="H861" t="s">
        <v>52</v>
      </c>
      <c r="I861" t="s">
        <v>52</v>
      </c>
      <c r="J861" t="s">
        <v>590</v>
      </c>
      <c r="K861" t="s">
        <v>52</v>
      </c>
      <c r="L861" t="s">
        <v>665</v>
      </c>
      <c r="M861" t="s">
        <v>654</v>
      </c>
      <c r="N861" t="s">
        <v>163</v>
      </c>
      <c r="O861" t="s">
        <v>151</v>
      </c>
      <c r="P861" t="s">
        <v>151</v>
      </c>
      <c r="Q861" t="s">
        <v>51</v>
      </c>
      <c r="R861" t="s">
        <v>51</v>
      </c>
      <c r="S861" t="s">
        <v>51</v>
      </c>
      <c r="T861" t="s">
        <v>51</v>
      </c>
    </row>
    <row r="862" spans="1:20">
      <c r="A862" t="s">
        <v>622</v>
      </c>
      <c r="B862" t="s">
        <v>97</v>
      </c>
      <c r="C862" t="s">
        <v>49</v>
      </c>
      <c r="D862" t="s">
        <v>51</v>
      </c>
      <c r="E862" t="s">
        <v>51</v>
      </c>
      <c r="F862" t="s">
        <v>51</v>
      </c>
      <c r="G862" t="s">
        <v>52</v>
      </c>
      <c r="H862" t="s">
        <v>52</v>
      </c>
      <c r="I862" t="s">
        <v>52</v>
      </c>
      <c r="J862" t="s">
        <v>590</v>
      </c>
      <c r="K862" t="s">
        <v>52</v>
      </c>
      <c r="L862" t="s">
        <v>665</v>
      </c>
      <c r="M862" t="s">
        <v>654</v>
      </c>
      <c r="N862" t="s">
        <v>163</v>
      </c>
      <c r="O862" t="s">
        <v>151</v>
      </c>
      <c r="P862" t="s">
        <v>151</v>
      </c>
      <c r="Q862" t="s">
        <v>51</v>
      </c>
      <c r="R862" t="s">
        <v>51</v>
      </c>
      <c r="S862" t="s">
        <v>51</v>
      </c>
      <c r="T862" t="s">
        <v>51</v>
      </c>
    </row>
    <row r="863" spans="1:20">
      <c r="A863" t="s">
        <v>623</v>
      </c>
      <c r="B863" t="s">
        <v>99</v>
      </c>
      <c r="C863" t="s">
        <v>49</v>
      </c>
      <c r="D863" t="s">
        <v>51</v>
      </c>
      <c r="E863" t="s">
        <v>51</v>
      </c>
      <c r="F863" t="s">
        <v>51</v>
      </c>
      <c r="G863" t="s">
        <v>52</v>
      </c>
      <c r="H863" t="s">
        <v>52</v>
      </c>
      <c r="I863" t="s">
        <v>52</v>
      </c>
      <c r="J863" t="s">
        <v>590</v>
      </c>
      <c r="K863" t="s">
        <v>52</v>
      </c>
      <c r="L863" t="s">
        <v>665</v>
      </c>
      <c r="M863" t="s">
        <v>654</v>
      </c>
      <c r="N863" t="s">
        <v>163</v>
      </c>
      <c r="O863" t="s">
        <v>151</v>
      </c>
      <c r="P863" t="s">
        <v>151</v>
      </c>
      <c r="Q863" t="s">
        <v>51</v>
      </c>
      <c r="R863" t="s">
        <v>51</v>
      </c>
      <c r="S863" t="s">
        <v>51</v>
      </c>
      <c r="T863" t="s">
        <v>51</v>
      </c>
    </row>
    <row r="864" spans="1:20">
      <c r="A864" t="s">
        <v>624</v>
      </c>
      <c r="B864" t="s">
        <v>101</v>
      </c>
      <c r="C864" t="s">
        <v>49</v>
      </c>
      <c r="D864" t="s">
        <v>51</v>
      </c>
      <c r="E864" t="s">
        <v>51</v>
      </c>
      <c r="F864" t="s">
        <v>51</v>
      </c>
      <c r="G864" t="s">
        <v>52</v>
      </c>
      <c r="H864" t="s">
        <v>52</v>
      </c>
      <c r="I864" t="s">
        <v>52</v>
      </c>
      <c r="J864" t="s">
        <v>590</v>
      </c>
      <c r="K864" t="s">
        <v>52</v>
      </c>
      <c r="L864" t="s">
        <v>665</v>
      </c>
      <c r="M864" t="s">
        <v>654</v>
      </c>
      <c r="N864" t="s">
        <v>163</v>
      </c>
      <c r="O864" t="s">
        <v>151</v>
      </c>
      <c r="P864" t="s">
        <v>151</v>
      </c>
      <c r="Q864" t="s">
        <v>51</v>
      </c>
      <c r="R864" t="s">
        <v>51</v>
      </c>
      <c r="S864" t="s">
        <v>51</v>
      </c>
      <c r="T864" t="s">
        <v>51</v>
      </c>
    </row>
    <row r="865" spans="1:20">
      <c r="A865" t="s">
        <v>625</v>
      </c>
      <c r="B865" t="s">
        <v>103</v>
      </c>
      <c r="C865" t="s">
        <v>49</v>
      </c>
      <c r="D865" t="s">
        <v>51</v>
      </c>
      <c r="E865" t="s">
        <v>51</v>
      </c>
      <c r="F865" t="s">
        <v>51</v>
      </c>
      <c r="G865" t="s">
        <v>52</v>
      </c>
      <c r="H865" t="s">
        <v>52</v>
      </c>
      <c r="I865" t="s">
        <v>52</v>
      </c>
      <c r="J865" t="s">
        <v>590</v>
      </c>
      <c r="K865" t="s">
        <v>52</v>
      </c>
      <c r="L865" t="s">
        <v>665</v>
      </c>
      <c r="M865" t="s">
        <v>654</v>
      </c>
      <c r="N865" t="s">
        <v>163</v>
      </c>
      <c r="O865" t="s">
        <v>151</v>
      </c>
      <c r="P865" t="s">
        <v>151</v>
      </c>
      <c r="Q865" t="s">
        <v>51</v>
      </c>
      <c r="R865" t="s">
        <v>51</v>
      </c>
      <c r="S865" t="s">
        <v>51</v>
      </c>
      <c r="T865" t="s">
        <v>51</v>
      </c>
    </row>
    <row r="866" spans="1:20">
      <c r="A866" t="s">
        <v>626</v>
      </c>
      <c r="B866" t="s">
        <v>105</v>
      </c>
      <c r="C866" t="s">
        <v>49</v>
      </c>
      <c r="D866" t="s">
        <v>51</v>
      </c>
      <c r="E866" t="s">
        <v>51</v>
      </c>
      <c r="F866" t="s">
        <v>51</v>
      </c>
      <c r="G866" t="s">
        <v>52</v>
      </c>
      <c r="H866" t="s">
        <v>52</v>
      </c>
      <c r="I866" t="s">
        <v>52</v>
      </c>
      <c r="J866" t="s">
        <v>590</v>
      </c>
      <c r="K866" t="s">
        <v>52</v>
      </c>
      <c r="L866" t="s">
        <v>665</v>
      </c>
      <c r="M866" t="s">
        <v>654</v>
      </c>
      <c r="N866" t="s">
        <v>163</v>
      </c>
      <c r="O866" t="s">
        <v>151</v>
      </c>
      <c r="P866" t="s">
        <v>151</v>
      </c>
      <c r="Q866" t="s">
        <v>51</v>
      </c>
      <c r="R866" t="s">
        <v>51</v>
      </c>
      <c r="S866" t="s">
        <v>51</v>
      </c>
      <c r="T866" t="s">
        <v>51</v>
      </c>
    </row>
    <row r="867" spans="1:20">
      <c r="A867" t="s">
        <v>627</v>
      </c>
      <c r="B867" t="s">
        <v>107</v>
      </c>
      <c r="C867" t="s">
        <v>49</v>
      </c>
      <c r="D867" t="s">
        <v>51</v>
      </c>
      <c r="E867" t="s">
        <v>51</v>
      </c>
      <c r="F867" t="s">
        <v>51</v>
      </c>
      <c r="G867" t="s">
        <v>52</v>
      </c>
      <c r="H867" t="s">
        <v>52</v>
      </c>
      <c r="I867" t="s">
        <v>52</v>
      </c>
      <c r="J867" t="s">
        <v>590</v>
      </c>
      <c r="K867" t="s">
        <v>52</v>
      </c>
      <c r="L867" t="s">
        <v>665</v>
      </c>
      <c r="M867" t="s">
        <v>654</v>
      </c>
      <c r="N867" t="s">
        <v>163</v>
      </c>
      <c r="O867" t="s">
        <v>151</v>
      </c>
      <c r="P867" t="s">
        <v>151</v>
      </c>
      <c r="Q867" t="s">
        <v>51</v>
      </c>
      <c r="R867" t="s">
        <v>51</v>
      </c>
      <c r="S867" t="s">
        <v>51</v>
      </c>
      <c r="T867" t="s">
        <v>51</v>
      </c>
    </row>
    <row r="868" spans="1:20">
      <c r="A868" t="s">
        <v>628</v>
      </c>
      <c r="B868" t="s">
        <v>109</v>
      </c>
      <c r="C868" t="s">
        <v>49</v>
      </c>
      <c r="D868" t="s">
        <v>51</v>
      </c>
      <c r="E868" t="s">
        <v>51</v>
      </c>
      <c r="F868" t="s">
        <v>51</v>
      </c>
      <c r="G868" t="s">
        <v>52</v>
      </c>
      <c r="H868" t="s">
        <v>52</v>
      </c>
      <c r="I868" t="s">
        <v>52</v>
      </c>
      <c r="J868" t="s">
        <v>590</v>
      </c>
      <c r="K868" t="s">
        <v>52</v>
      </c>
      <c r="L868" t="s">
        <v>665</v>
      </c>
      <c r="M868" t="s">
        <v>654</v>
      </c>
      <c r="N868" t="s">
        <v>163</v>
      </c>
      <c r="O868" t="s">
        <v>151</v>
      </c>
      <c r="P868" t="s">
        <v>151</v>
      </c>
      <c r="Q868" t="s">
        <v>51</v>
      </c>
      <c r="R868" t="s">
        <v>51</v>
      </c>
      <c r="S868" t="s">
        <v>51</v>
      </c>
      <c r="T868" t="s">
        <v>51</v>
      </c>
    </row>
    <row r="869" spans="1:20">
      <c r="A869" t="s">
        <v>629</v>
      </c>
      <c r="B869" t="s">
        <v>111</v>
      </c>
      <c r="C869" t="s">
        <v>49</v>
      </c>
      <c r="D869" t="s">
        <v>51</v>
      </c>
      <c r="E869" t="s">
        <v>51</v>
      </c>
      <c r="F869" t="s">
        <v>51</v>
      </c>
      <c r="G869" t="s">
        <v>52</v>
      </c>
      <c r="H869" t="s">
        <v>52</v>
      </c>
      <c r="I869" t="s">
        <v>52</v>
      </c>
      <c r="J869" t="s">
        <v>590</v>
      </c>
      <c r="K869" t="s">
        <v>52</v>
      </c>
      <c r="L869" t="s">
        <v>665</v>
      </c>
      <c r="M869" t="s">
        <v>654</v>
      </c>
      <c r="N869" t="s">
        <v>163</v>
      </c>
      <c r="O869" t="s">
        <v>151</v>
      </c>
      <c r="P869" t="s">
        <v>151</v>
      </c>
      <c r="Q869" t="s">
        <v>51</v>
      </c>
      <c r="R869" t="s">
        <v>51</v>
      </c>
      <c r="S869" t="s">
        <v>51</v>
      </c>
      <c r="T869" t="s">
        <v>51</v>
      </c>
    </row>
    <row r="870" spans="1:20">
      <c r="A870" t="s">
        <v>630</v>
      </c>
      <c r="B870" t="s">
        <v>113</v>
      </c>
      <c r="C870" t="s">
        <v>49</v>
      </c>
      <c r="D870" t="s">
        <v>51</v>
      </c>
      <c r="E870" t="s">
        <v>51</v>
      </c>
      <c r="F870" t="s">
        <v>51</v>
      </c>
      <c r="G870" t="s">
        <v>52</v>
      </c>
      <c r="H870" t="s">
        <v>52</v>
      </c>
      <c r="I870" t="s">
        <v>52</v>
      </c>
      <c r="J870" t="s">
        <v>590</v>
      </c>
      <c r="K870" t="s">
        <v>52</v>
      </c>
      <c r="L870" t="s">
        <v>665</v>
      </c>
      <c r="M870" t="s">
        <v>654</v>
      </c>
      <c r="N870" t="s">
        <v>163</v>
      </c>
      <c r="O870" t="s">
        <v>151</v>
      </c>
      <c r="P870" t="s">
        <v>151</v>
      </c>
      <c r="Q870" t="s">
        <v>51</v>
      </c>
      <c r="R870" t="s">
        <v>51</v>
      </c>
      <c r="S870" t="s">
        <v>51</v>
      </c>
      <c r="T870" t="s">
        <v>51</v>
      </c>
    </row>
    <row r="871" spans="1:20">
      <c r="A871" t="s">
        <v>631</v>
      </c>
      <c r="B871" t="s">
        <v>115</v>
      </c>
      <c r="C871" t="s">
        <v>49</v>
      </c>
      <c r="D871" t="s">
        <v>51</v>
      </c>
      <c r="E871" t="s">
        <v>51</v>
      </c>
      <c r="F871" t="s">
        <v>51</v>
      </c>
      <c r="G871" t="s">
        <v>52</v>
      </c>
      <c r="H871" t="s">
        <v>52</v>
      </c>
      <c r="I871" t="s">
        <v>52</v>
      </c>
      <c r="J871" t="s">
        <v>590</v>
      </c>
      <c r="K871" t="s">
        <v>52</v>
      </c>
      <c r="L871" t="s">
        <v>665</v>
      </c>
      <c r="M871" t="s">
        <v>654</v>
      </c>
      <c r="N871" t="s">
        <v>163</v>
      </c>
      <c r="O871" t="s">
        <v>151</v>
      </c>
      <c r="P871" t="s">
        <v>151</v>
      </c>
      <c r="Q871" t="s">
        <v>51</v>
      </c>
      <c r="R871" t="s">
        <v>51</v>
      </c>
      <c r="S871" t="s">
        <v>51</v>
      </c>
      <c r="T871" t="s">
        <v>51</v>
      </c>
    </row>
    <row r="872" spans="1:20">
      <c r="A872" t="s">
        <v>632</v>
      </c>
      <c r="B872" t="s">
        <v>117</v>
      </c>
      <c r="C872" t="s">
        <v>49</v>
      </c>
      <c r="D872" t="s">
        <v>51</v>
      </c>
      <c r="E872" t="s">
        <v>51</v>
      </c>
      <c r="F872" t="s">
        <v>51</v>
      </c>
      <c r="G872" t="s">
        <v>52</v>
      </c>
      <c r="H872" t="s">
        <v>52</v>
      </c>
      <c r="I872" t="s">
        <v>52</v>
      </c>
      <c r="J872" t="s">
        <v>590</v>
      </c>
      <c r="K872" t="s">
        <v>52</v>
      </c>
      <c r="L872" t="s">
        <v>665</v>
      </c>
      <c r="M872" t="s">
        <v>654</v>
      </c>
      <c r="N872" t="s">
        <v>163</v>
      </c>
      <c r="O872" t="s">
        <v>151</v>
      </c>
      <c r="P872" t="s">
        <v>151</v>
      </c>
      <c r="Q872" t="s">
        <v>51</v>
      </c>
      <c r="R872" t="s">
        <v>51</v>
      </c>
      <c r="S872" t="s">
        <v>51</v>
      </c>
      <c r="T872" t="s">
        <v>51</v>
      </c>
    </row>
    <row r="873" spans="1:20">
      <c r="A873" t="s">
        <v>633</v>
      </c>
      <c r="B873" t="s">
        <v>119</v>
      </c>
      <c r="C873" t="s">
        <v>49</v>
      </c>
      <c r="D873" t="s">
        <v>51</v>
      </c>
      <c r="E873" t="s">
        <v>51</v>
      </c>
      <c r="F873" t="s">
        <v>51</v>
      </c>
      <c r="G873" t="s">
        <v>52</v>
      </c>
      <c r="H873" t="s">
        <v>52</v>
      </c>
      <c r="I873" t="s">
        <v>52</v>
      </c>
      <c r="J873" t="s">
        <v>590</v>
      </c>
      <c r="K873" t="s">
        <v>52</v>
      </c>
      <c r="L873" t="s">
        <v>665</v>
      </c>
      <c r="M873" t="s">
        <v>654</v>
      </c>
      <c r="N873" t="s">
        <v>163</v>
      </c>
      <c r="O873" t="s">
        <v>151</v>
      </c>
      <c r="P873" t="s">
        <v>151</v>
      </c>
      <c r="Q873" t="s">
        <v>51</v>
      </c>
      <c r="R873" t="s">
        <v>51</v>
      </c>
      <c r="S873" t="s">
        <v>51</v>
      </c>
      <c r="T873" t="s">
        <v>51</v>
      </c>
    </row>
    <row r="874" spans="1:20">
      <c r="A874" t="s">
        <v>634</v>
      </c>
      <c r="B874" t="s">
        <v>121</v>
      </c>
      <c r="C874" t="s">
        <v>49</v>
      </c>
      <c r="D874" t="s">
        <v>51</v>
      </c>
      <c r="E874" t="s">
        <v>51</v>
      </c>
      <c r="F874" t="s">
        <v>51</v>
      </c>
      <c r="G874" t="s">
        <v>52</v>
      </c>
      <c r="H874" t="s">
        <v>52</v>
      </c>
      <c r="I874" t="s">
        <v>52</v>
      </c>
      <c r="J874" t="s">
        <v>590</v>
      </c>
      <c r="K874" t="s">
        <v>52</v>
      </c>
      <c r="L874" t="s">
        <v>665</v>
      </c>
      <c r="M874" t="s">
        <v>654</v>
      </c>
      <c r="N874" t="s">
        <v>163</v>
      </c>
      <c r="O874" t="s">
        <v>151</v>
      </c>
      <c r="P874" t="s">
        <v>151</v>
      </c>
      <c r="Q874" t="s">
        <v>51</v>
      </c>
      <c r="R874" t="s">
        <v>51</v>
      </c>
      <c r="S874" t="s">
        <v>51</v>
      </c>
      <c r="T874" t="s">
        <v>51</v>
      </c>
    </row>
    <row r="875" spans="1:20">
      <c r="A875" t="s">
        <v>635</v>
      </c>
      <c r="B875" t="s">
        <v>123</v>
      </c>
      <c r="C875" t="s">
        <v>49</v>
      </c>
      <c r="D875" t="s">
        <v>51</v>
      </c>
      <c r="E875" t="s">
        <v>51</v>
      </c>
      <c r="F875" t="s">
        <v>51</v>
      </c>
      <c r="G875" t="s">
        <v>52</v>
      </c>
      <c r="H875" t="s">
        <v>52</v>
      </c>
      <c r="I875" t="s">
        <v>52</v>
      </c>
      <c r="J875" t="s">
        <v>590</v>
      </c>
      <c r="K875" t="s">
        <v>52</v>
      </c>
      <c r="L875" t="s">
        <v>665</v>
      </c>
      <c r="M875" t="s">
        <v>654</v>
      </c>
      <c r="N875" t="s">
        <v>163</v>
      </c>
      <c r="O875" t="s">
        <v>151</v>
      </c>
      <c r="P875" t="s">
        <v>151</v>
      </c>
      <c r="Q875" t="s">
        <v>51</v>
      </c>
      <c r="R875" t="s">
        <v>51</v>
      </c>
      <c r="S875" t="s">
        <v>51</v>
      </c>
      <c r="T875" t="s">
        <v>51</v>
      </c>
    </row>
    <row r="876" spans="1:20">
      <c r="A876" t="s">
        <v>636</v>
      </c>
      <c r="B876" t="s">
        <v>125</v>
      </c>
      <c r="C876" t="s">
        <v>49</v>
      </c>
      <c r="D876" t="s">
        <v>51</v>
      </c>
      <c r="E876" t="s">
        <v>51</v>
      </c>
      <c r="F876" t="s">
        <v>51</v>
      </c>
      <c r="G876" t="s">
        <v>52</v>
      </c>
      <c r="H876" t="s">
        <v>52</v>
      </c>
      <c r="I876" t="s">
        <v>52</v>
      </c>
      <c r="J876" t="s">
        <v>590</v>
      </c>
      <c r="K876" t="s">
        <v>52</v>
      </c>
      <c r="L876" t="s">
        <v>665</v>
      </c>
      <c r="M876" t="s">
        <v>654</v>
      </c>
      <c r="N876" t="s">
        <v>163</v>
      </c>
      <c r="O876" t="s">
        <v>151</v>
      </c>
      <c r="P876" t="s">
        <v>151</v>
      </c>
      <c r="Q876" t="s">
        <v>51</v>
      </c>
      <c r="R876" t="s">
        <v>51</v>
      </c>
      <c r="S876" t="s">
        <v>51</v>
      </c>
      <c r="T876" t="s">
        <v>51</v>
      </c>
    </row>
    <row r="877" spans="1:20">
      <c r="A877" t="s">
        <v>637</v>
      </c>
      <c r="B877" t="s">
        <v>127</v>
      </c>
      <c r="C877" t="s">
        <v>49</v>
      </c>
      <c r="D877" t="s">
        <v>51</v>
      </c>
      <c r="E877" t="s">
        <v>51</v>
      </c>
      <c r="F877" t="s">
        <v>51</v>
      </c>
      <c r="G877" t="s">
        <v>52</v>
      </c>
      <c r="H877" t="s">
        <v>52</v>
      </c>
      <c r="I877" t="s">
        <v>52</v>
      </c>
      <c r="J877" t="s">
        <v>590</v>
      </c>
      <c r="K877" t="s">
        <v>52</v>
      </c>
      <c r="L877" t="s">
        <v>665</v>
      </c>
      <c r="M877" t="s">
        <v>654</v>
      </c>
      <c r="N877" t="s">
        <v>163</v>
      </c>
      <c r="O877" t="s">
        <v>151</v>
      </c>
      <c r="P877" t="s">
        <v>151</v>
      </c>
      <c r="Q877" t="s">
        <v>51</v>
      </c>
      <c r="R877" t="s">
        <v>51</v>
      </c>
      <c r="S877" t="s">
        <v>51</v>
      </c>
      <c r="T877" t="s">
        <v>51</v>
      </c>
    </row>
    <row r="878" spans="1:20">
      <c r="A878" t="s">
        <v>638</v>
      </c>
      <c r="B878" t="s">
        <v>129</v>
      </c>
      <c r="C878" t="s">
        <v>49</v>
      </c>
      <c r="D878" t="s">
        <v>51</v>
      </c>
      <c r="E878" t="s">
        <v>51</v>
      </c>
      <c r="F878" t="s">
        <v>51</v>
      </c>
      <c r="G878" t="s">
        <v>52</v>
      </c>
      <c r="H878" t="s">
        <v>52</v>
      </c>
      <c r="I878" t="s">
        <v>52</v>
      </c>
      <c r="J878" t="s">
        <v>590</v>
      </c>
      <c r="K878" t="s">
        <v>52</v>
      </c>
      <c r="L878" t="s">
        <v>665</v>
      </c>
      <c r="M878" t="s">
        <v>654</v>
      </c>
      <c r="N878" t="s">
        <v>163</v>
      </c>
      <c r="O878" t="s">
        <v>151</v>
      </c>
      <c r="P878" t="s">
        <v>151</v>
      </c>
      <c r="Q878" t="s">
        <v>51</v>
      </c>
      <c r="R878" t="s">
        <v>51</v>
      </c>
      <c r="S878" t="s">
        <v>51</v>
      </c>
      <c r="T878" t="s">
        <v>51</v>
      </c>
    </row>
    <row r="879" spans="1:20">
      <c r="A879" t="s">
        <v>639</v>
      </c>
      <c r="B879" t="s">
        <v>131</v>
      </c>
      <c r="C879" t="s">
        <v>49</v>
      </c>
      <c r="D879" t="s">
        <v>51</v>
      </c>
      <c r="E879" t="s">
        <v>51</v>
      </c>
      <c r="F879" t="s">
        <v>51</v>
      </c>
      <c r="G879" t="s">
        <v>52</v>
      </c>
      <c r="H879" t="s">
        <v>52</v>
      </c>
      <c r="I879" t="s">
        <v>52</v>
      </c>
      <c r="J879" t="s">
        <v>590</v>
      </c>
      <c r="K879" t="s">
        <v>52</v>
      </c>
      <c r="L879" t="s">
        <v>665</v>
      </c>
      <c r="M879" t="s">
        <v>654</v>
      </c>
      <c r="N879" t="s">
        <v>163</v>
      </c>
      <c r="O879" t="s">
        <v>151</v>
      </c>
      <c r="P879" t="s">
        <v>151</v>
      </c>
      <c r="Q879" t="s">
        <v>51</v>
      </c>
      <c r="R879" t="s">
        <v>51</v>
      </c>
      <c r="S879" t="s">
        <v>51</v>
      </c>
      <c r="T879" t="s">
        <v>51</v>
      </c>
    </row>
    <row r="880" spans="1:20">
      <c r="A880" t="s">
        <v>640</v>
      </c>
      <c r="B880" t="s">
        <v>133</v>
      </c>
      <c r="C880" t="s">
        <v>49</v>
      </c>
      <c r="D880" t="s">
        <v>51</v>
      </c>
      <c r="E880" t="s">
        <v>51</v>
      </c>
      <c r="F880" t="s">
        <v>51</v>
      </c>
      <c r="G880" t="s">
        <v>52</v>
      </c>
      <c r="H880" t="s">
        <v>52</v>
      </c>
      <c r="I880" t="s">
        <v>52</v>
      </c>
      <c r="J880" t="s">
        <v>590</v>
      </c>
      <c r="K880" t="s">
        <v>52</v>
      </c>
      <c r="L880" t="s">
        <v>665</v>
      </c>
      <c r="M880" t="s">
        <v>654</v>
      </c>
      <c r="N880" t="s">
        <v>163</v>
      </c>
      <c r="O880" t="s">
        <v>151</v>
      </c>
      <c r="P880" t="s">
        <v>151</v>
      </c>
      <c r="Q880" t="s">
        <v>51</v>
      </c>
      <c r="R880" t="s">
        <v>51</v>
      </c>
      <c r="S880" t="s">
        <v>51</v>
      </c>
      <c r="T880" t="s">
        <v>51</v>
      </c>
    </row>
    <row r="881" spans="1:20">
      <c r="A881" t="s">
        <v>641</v>
      </c>
      <c r="B881" t="s">
        <v>135</v>
      </c>
      <c r="C881" t="s">
        <v>49</v>
      </c>
      <c r="D881" t="s">
        <v>51</v>
      </c>
      <c r="E881" t="s">
        <v>51</v>
      </c>
      <c r="F881" t="s">
        <v>51</v>
      </c>
      <c r="G881" t="s">
        <v>52</v>
      </c>
      <c r="H881" t="s">
        <v>52</v>
      </c>
      <c r="I881" t="s">
        <v>52</v>
      </c>
      <c r="J881" t="s">
        <v>590</v>
      </c>
      <c r="K881" t="s">
        <v>52</v>
      </c>
      <c r="L881" t="s">
        <v>665</v>
      </c>
      <c r="M881" t="s">
        <v>654</v>
      </c>
      <c r="N881" t="s">
        <v>163</v>
      </c>
      <c r="O881" t="s">
        <v>151</v>
      </c>
      <c r="P881" t="s">
        <v>151</v>
      </c>
      <c r="Q881" t="s">
        <v>51</v>
      </c>
      <c r="R881" t="s">
        <v>51</v>
      </c>
      <c r="S881" t="s">
        <v>51</v>
      </c>
      <c r="T881" t="s">
        <v>51</v>
      </c>
    </row>
    <row r="882" spans="1:20">
      <c r="A882" t="s">
        <v>642</v>
      </c>
      <c r="B882" t="s">
        <v>137</v>
      </c>
      <c r="C882" t="s">
        <v>49</v>
      </c>
      <c r="D882" t="s">
        <v>51</v>
      </c>
      <c r="E882" t="s">
        <v>51</v>
      </c>
      <c r="F882" t="s">
        <v>51</v>
      </c>
      <c r="G882" t="s">
        <v>52</v>
      </c>
      <c r="H882" t="s">
        <v>52</v>
      </c>
      <c r="I882" t="s">
        <v>52</v>
      </c>
      <c r="J882" t="s">
        <v>590</v>
      </c>
      <c r="K882" t="s">
        <v>52</v>
      </c>
      <c r="L882" t="s">
        <v>665</v>
      </c>
      <c r="M882" t="s">
        <v>654</v>
      </c>
      <c r="N882" t="s">
        <v>163</v>
      </c>
      <c r="O882" t="s">
        <v>151</v>
      </c>
      <c r="P882" t="s">
        <v>151</v>
      </c>
      <c r="Q882" t="s">
        <v>51</v>
      </c>
      <c r="R882" t="s">
        <v>51</v>
      </c>
      <c r="S882" t="s">
        <v>51</v>
      </c>
      <c r="T882" t="s">
        <v>51</v>
      </c>
    </row>
    <row r="883" spans="1:20">
      <c r="A883" t="s">
        <v>643</v>
      </c>
      <c r="B883" t="s">
        <v>139</v>
      </c>
      <c r="C883" t="s">
        <v>49</v>
      </c>
      <c r="D883" t="s">
        <v>51</v>
      </c>
      <c r="E883" t="s">
        <v>51</v>
      </c>
      <c r="F883" t="s">
        <v>51</v>
      </c>
      <c r="G883" t="s">
        <v>52</v>
      </c>
      <c r="H883" t="s">
        <v>52</v>
      </c>
      <c r="I883" t="s">
        <v>52</v>
      </c>
      <c r="J883" t="s">
        <v>590</v>
      </c>
      <c r="K883" t="s">
        <v>52</v>
      </c>
      <c r="L883" t="s">
        <v>665</v>
      </c>
      <c r="M883" t="s">
        <v>654</v>
      </c>
      <c r="N883" t="s">
        <v>163</v>
      </c>
      <c r="O883" t="s">
        <v>151</v>
      </c>
      <c r="P883" t="s">
        <v>151</v>
      </c>
      <c r="Q883" t="s">
        <v>51</v>
      </c>
      <c r="R883" t="s">
        <v>51</v>
      </c>
      <c r="S883" t="s">
        <v>51</v>
      </c>
      <c r="T883" t="s">
        <v>51</v>
      </c>
    </row>
    <row r="884" spans="1:20">
      <c r="A884" t="s">
        <v>644</v>
      </c>
      <c r="B884" t="s">
        <v>141</v>
      </c>
      <c r="C884" t="s">
        <v>49</v>
      </c>
      <c r="D884" t="s">
        <v>51</v>
      </c>
      <c r="E884" t="s">
        <v>51</v>
      </c>
      <c r="F884" t="s">
        <v>51</v>
      </c>
      <c r="G884" t="s">
        <v>52</v>
      </c>
      <c r="H884" t="s">
        <v>52</v>
      </c>
      <c r="I884" t="s">
        <v>52</v>
      </c>
      <c r="J884" t="s">
        <v>590</v>
      </c>
      <c r="K884" t="s">
        <v>52</v>
      </c>
      <c r="L884" t="s">
        <v>665</v>
      </c>
      <c r="M884" t="s">
        <v>654</v>
      </c>
      <c r="N884" t="s">
        <v>163</v>
      </c>
      <c r="O884" t="s">
        <v>151</v>
      </c>
      <c r="P884" t="s">
        <v>151</v>
      </c>
      <c r="Q884" t="s">
        <v>51</v>
      </c>
      <c r="R884" t="s">
        <v>51</v>
      </c>
      <c r="S884" t="s">
        <v>51</v>
      </c>
      <c r="T884" t="s">
        <v>51</v>
      </c>
    </row>
    <row r="885" spans="1:20">
      <c r="A885" t="s">
        <v>645</v>
      </c>
      <c r="B885" t="s">
        <v>143</v>
      </c>
      <c r="C885" t="s">
        <v>49</v>
      </c>
      <c r="D885" t="s">
        <v>51</v>
      </c>
      <c r="E885" t="s">
        <v>51</v>
      </c>
      <c r="F885" t="s">
        <v>51</v>
      </c>
      <c r="G885" t="s">
        <v>52</v>
      </c>
      <c r="H885" t="s">
        <v>52</v>
      </c>
      <c r="I885" t="s">
        <v>52</v>
      </c>
      <c r="J885" t="s">
        <v>590</v>
      </c>
      <c r="K885" t="s">
        <v>52</v>
      </c>
      <c r="L885" t="s">
        <v>665</v>
      </c>
      <c r="M885" t="s">
        <v>654</v>
      </c>
      <c r="N885" t="s">
        <v>163</v>
      </c>
      <c r="O885" t="s">
        <v>151</v>
      </c>
      <c r="P885" t="s">
        <v>151</v>
      </c>
      <c r="Q885" t="s">
        <v>51</v>
      </c>
      <c r="R885" t="s">
        <v>51</v>
      </c>
      <c r="S885" t="s">
        <v>51</v>
      </c>
      <c r="T885" t="s">
        <v>51</v>
      </c>
    </row>
    <row r="886" spans="1:20">
      <c r="A886" t="s">
        <v>646</v>
      </c>
      <c r="B886" t="s">
        <v>145</v>
      </c>
      <c r="C886" t="s">
        <v>49</v>
      </c>
      <c r="D886" t="s">
        <v>51</v>
      </c>
      <c r="E886" t="s">
        <v>51</v>
      </c>
      <c r="F886" t="s">
        <v>51</v>
      </c>
      <c r="G886" t="s">
        <v>52</v>
      </c>
      <c r="H886" t="s">
        <v>52</v>
      </c>
      <c r="I886" t="s">
        <v>52</v>
      </c>
      <c r="J886" t="s">
        <v>590</v>
      </c>
      <c r="K886" t="s">
        <v>52</v>
      </c>
      <c r="L886" t="s">
        <v>665</v>
      </c>
      <c r="M886" t="s">
        <v>654</v>
      </c>
      <c r="N886" t="s">
        <v>163</v>
      </c>
      <c r="O886" t="s">
        <v>151</v>
      </c>
      <c r="P886" t="s">
        <v>151</v>
      </c>
      <c r="Q886" t="s">
        <v>51</v>
      </c>
      <c r="R886" t="s">
        <v>51</v>
      </c>
      <c r="S886" t="s">
        <v>51</v>
      </c>
      <c r="T886" t="s">
        <v>51</v>
      </c>
    </row>
    <row r="887" spans="1:20">
      <c r="A887" t="s">
        <v>647</v>
      </c>
      <c r="B887" t="s">
        <v>147</v>
      </c>
      <c r="C887" t="s">
        <v>49</v>
      </c>
      <c r="D887" t="s">
        <v>51</v>
      </c>
      <c r="E887" t="s">
        <v>51</v>
      </c>
      <c r="F887" t="s">
        <v>51</v>
      </c>
      <c r="G887" t="s">
        <v>52</v>
      </c>
      <c r="H887" t="s">
        <v>52</v>
      </c>
      <c r="I887" t="s">
        <v>52</v>
      </c>
      <c r="J887" t="s">
        <v>590</v>
      </c>
      <c r="K887" t="s">
        <v>52</v>
      </c>
      <c r="L887" t="s">
        <v>665</v>
      </c>
      <c r="M887" t="s">
        <v>654</v>
      </c>
      <c r="N887" t="s">
        <v>163</v>
      </c>
      <c r="O887" t="s">
        <v>151</v>
      </c>
      <c r="P887" t="s">
        <v>151</v>
      </c>
      <c r="Q887" t="s">
        <v>51</v>
      </c>
      <c r="R887" t="s">
        <v>51</v>
      </c>
      <c r="S887" t="s">
        <v>51</v>
      </c>
      <c r="T887" t="s">
        <v>51</v>
      </c>
    </row>
    <row r="888" spans="1:20">
      <c r="A888" t="s">
        <v>648</v>
      </c>
      <c r="B888" t="s">
        <v>149</v>
      </c>
      <c r="C888" t="s">
        <v>49</v>
      </c>
      <c r="D888" t="s">
        <v>51</v>
      </c>
      <c r="E888" t="s">
        <v>51</v>
      </c>
      <c r="F888" t="s">
        <v>51</v>
      </c>
      <c r="G888" t="s">
        <v>52</v>
      </c>
      <c r="H888" t="s">
        <v>52</v>
      </c>
      <c r="I888" t="s">
        <v>52</v>
      </c>
      <c r="J888" t="s">
        <v>590</v>
      </c>
      <c r="K888" t="s">
        <v>52</v>
      </c>
      <c r="L888" t="s">
        <v>665</v>
      </c>
      <c r="M888" t="s">
        <v>654</v>
      </c>
      <c r="N888" t="s">
        <v>163</v>
      </c>
      <c r="O888" t="s">
        <v>151</v>
      </c>
      <c r="P888" t="s">
        <v>151</v>
      </c>
      <c r="Q888" t="s">
        <v>51</v>
      </c>
      <c r="R888" t="s">
        <v>51</v>
      </c>
      <c r="S888" t="s">
        <v>51</v>
      </c>
      <c r="T888" t="s">
        <v>51</v>
      </c>
    </row>
    <row r="889" spans="1:20">
      <c r="A889" t="s">
        <v>649</v>
      </c>
      <c r="B889" t="s">
        <v>151</v>
      </c>
      <c r="C889" t="s">
        <v>49</v>
      </c>
      <c r="D889" t="s">
        <v>51</v>
      </c>
      <c r="E889" t="s">
        <v>51</v>
      </c>
      <c r="F889" t="s">
        <v>51</v>
      </c>
      <c r="G889" t="s">
        <v>52</v>
      </c>
      <c r="H889" t="s">
        <v>52</v>
      </c>
      <c r="I889" t="s">
        <v>52</v>
      </c>
      <c r="J889" t="s">
        <v>590</v>
      </c>
      <c r="K889" t="s">
        <v>52</v>
      </c>
      <c r="L889" t="s">
        <v>665</v>
      </c>
      <c r="M889" t="s">
        <v>654</v>
      </c>
      <c r="N889" t="s">
        <v>163</v>
      </c>
      <c r="O889" t="s">
        <v>151</v>
      </c>
      <c r="P889" t="s">
        <v>151</v>
      </c>
      <c r="Q889" t="s">
        <v>51</v>
      </c>
      <c r="R889" t="s">
        <v>51</v>
      </c>
      <c r="S889" t="s">
        <v>51</v>
      </c>
      <c r="T889" t="s">
        <v>51</v>
      </c>
    </row>
    <row r="890" spans="1:20">
      <c r="A890" t="s">
        <v>650</v>
      </c>
      <c r="B890" t="s">
        <v>153</v>
      </c>
      <c r="C890" t="s">
        <v>49</v>
      </c>
      <c r="D890" t="s">
        <v>51</v>
      </c>
      <c r="E890" t="s">
        <v>51</v>
      </c>
      <c r="F890" t="s">
        <v>51</v>
      </c>
      <c r="G890" t="s">
        <v>52</v>
      </c>
      <c r="H890" t="s">
        <v>52</v>
      </c>
      <c r="I890" t="s">
        <v>52</v>
      </c>
      <c r="J890" t="s">
        <v>590</v>
      </c>
      <c r="K890" t="s">
        <v>52</v>
      </c>
      <c r="L890" t="s">
        <v>665</v>
      </c>
      <c r="M890" t="s">
        <v>654</v>
      </c>
      <c r="N890" t="s">
        <v>163</v>
      </c>
      <c r="O890" t="s">
        <v>151</v>
      </c>
      <c r="P890" t="s">
        <v>151</v>
      </c>
      <c r="Q890" t="s">
        <v>51</v>
      </c>
      <c r="R890" t="s">
        <v>51</v>
      </c>
      <c r="S890" t="s">
        <v>51</v>
      </c>
      <c r="T890" t="s">
        <v>51</v>
      </c>
    </row>
    <row r="891" spans="1:20">
      <c r="A891" t="s">
        <v>588</v>
      </c>
      <c r="B891" t="s">
        <v>589</v>
      </c>
      <c r="C891" t="s">
        <v>165</v>
      </c>
      <c r="D891" t="s">
        <v>50</v>
      </c>
      <c r="E891" t="s">
        <v>51</v>
      </c>
      <c r="F891" t="s">
        <v>51</v>
      </c>
      <c r="G891" t="s">
        <v>52</v>
      </c>
      <c r="H891" t="s">
        <v>52</v>
      </c>
      <c r="I891" t="s">
        <v>52</v>
      </c>
      <c r="J891" t="s">
        <v>52</v>
      </c>
      <c r="K891" t="s">
        <v>52</v>
      </c>
      <c r="L891" t="s">
        <v>666</v>
      </c>
      <c r="M891" t="s">
        <v>654</v>
      </c>
      <c r="N891" t="s">
        <v>163</v>
      </c>
      <c r="O891" t="s">
        <v>153</v>
      </c>
      <c r="P891" t="s">
        <v>153</v>
      </c>
      <c r="Q891" t="s">
        <v>51</v>
      </c>
      <c r="R891" t="s">
        <v>51</v>
      </c>
      <c r="S891" t="s">
        <v>51</v>
      </c>
      <c r="T891" t="s">
        <v>51</v>
      </c>
    </row>
    <row r="892" spans="1:20">
      <c r="A892" t="s">
        <v>613</v>
      </c>
      <c r="B892" t="s">
        <v>79</v>
      </c>
      <c r="C892" t="s">
        <v>49</v>
      </c>
      <c r="D892" t="s">
        <v>51</v>
      </c>
      <c r="E892" t="s">
        <v>51</v>
      </c>
      <c r="F892" t="s">
        <v>51</v>
      </c>
      <c r="G892" t="s">
        <v>52</v>
      </c>
      <c r="H892" t="s">
        <v>52</v>
      </c>
      <c r="I892" t="s">
        <v>52</v>
      </c>
      <c r="J892" t="s">
        <v>590</v>
      </c>
      <c r="K892" t="s">
        <v>52</v>
      </c>
      <c r="L892" t="s">
        <v>666</v>
      </c>
      <c r="M892" t="s">
        <v>654</v>
      </c>
      <c r="N892" t="s">
        <v>163</v>
      </c>
      <c r="O892" t="s">
        <v>153</v>
      </c>
      <c r="P892" t="s">
        <v>153</v>
      </c>
      <c r="Q892" t="s">
        <v>51</v>
      </c>
      <c r="R892" t="s">
        <v>51</v>
      </c>
      <c r="S892" t="s">
        <v>51</v>
      </c>
      <c r="T892" t="s">
        <v>51</v>
      </c>
    </row>
    <row r="893" spans="1:20">
      <c r="A893" t="s">
        <v>614</v>
      </c>
      <c r="B893" t="s">
        <v>81</v>
      </c>
      <c r="C893" t="s">
        <v>49</v>
      </c>
      <c r="D893" t="s">
        <v>51</v>
      </c>
      <c r="E893" t="s">
        <v>51</v>
      </c>
      <c r="F893" t="s">
        <v>51</v>
      </c>
      <c r="G893" t="s">
        <v>52</v>
      </c>
      <c r="H893" t="s">
        <v>52</v>
      </c>
      <c r="I893" t="s">
        <v>52</v>
      </c>
      <c r="J893" t="s">
        <v>590</v>
      </c>
      <c r="K893" t="s">
        <v>52</v>
      </c>
      <c r="L893" t="s">
        <v>666</v>
      </c>
      <c r="M893" t="s">
        <v>654</v>
      </c>
      <c r="N893" t="s">
        <v>163</v>
      </c>
      <c r="O893" t="s">
        <v>153</v>
      </c>
      <c r="P893" t="s">
        <v>153</v>
      </c>
      <c r="Q893" t="s">
        <v>51</v>
      </c>
      <c r="R893" t="s">
        <v>51</v>
      </c>
      <c r="S893" t="s">
        <v>51</v>
      </c>
      <c r="T893" t="s">
        <v>51</v>
      </c>
    </row>
    <row r="894" spans="1:20">
      <c r="A894" t="s">
        <v>615</v>
      </c>
      <c r="B894" t="s">
        <v>83</v>
      </c>
      <c r="C894" t="s">
        <v>49</v>
      </c>
      <c r="D894" t="s">
        <v>51</v>
      </c>
      <c r="E894" t="s">
        <v>51</v>
      </c>
      <c r="F894" t="s">
        <v>51</v>
      </c>
      <c r="G894" t="s">
        <v>52</v>
      </c>
      <c r="H894" t="s">
        <v>52</v>
      </c>
      <c r="I894" t="s">
        <v>52</v>
      </c>
      <c r="J894" t="s">
        <v>590</v>
      </c>
      <c r="K894" t="s">
        <v>52</v>
      </c>
      <c r="L894" t="s">
        <v>666</v>
      </c>
      <c r="M894" t="s">
        <v>654</v>
      </c>
      <c r="N894" t="s">
        <v>163</v>
      </c>
      <c r="O894" t="s">
        <v>153</v>
      </c>
      <c r="P894" t="s">
        <v>153</v>
      </c>
      <c r="Q894" t="s">
        <v>51</v>
      </c>
      <c r="R894" t="s">
        <v>51</v>
      </c>
      <c r="S894" t="s">
        <v>51</v>
      </c>
      <c r="T894" t="s">
        <v>51</v>
      </c>
    </row>
    <row r="895" spans="1:20">
      <c r="A895" t="s">
        <v>616</v>
      </c>
      <c r="B895" t="s">
        <v>85</v>
      </c>
      <c r="C895" t="s">
        <v>49</v>
      </c>
      <c r="D895" t="s">
        <v>51</v>
      </c>
      <c r="E895" t="s">
        <v>51</v>
      </c>
      <c r="F895" t="s">
        <v>51</v>
      </c>
      <c r="G895" t="s">
        <v>52</v>
      </c>
      <c r="H895" t="s">
        <v>52</v>
      </c>
      <c r="I895" t="s">
        <v>52</v>
      </c>
      <c r="J895" t="s">
        <v>590</v>
      </c>
      <c r="K895" t="s">
        <v>52</v>
      </c>
      <c r="L895" t="s">
        <v>666</v>
      </c>
      <c r="M895" t="s">
        <v>654</v>
      </c>
      <c r="N895" t="s">
        <v>163</v>
      </c>
      <c r="O895" t="s">
        <v>153</v>
      </c>
      <c r="P895" t="s">
        <v>153</v>
      </c>
      <c r="Q895" t="s">
        <v>51</v>
      </c>
      <c r="R895" t="s">
        <v>51</v>
      </c>
      <c r="S895" t="s">
        <v>51</v>
      </c>
      <c r="T895" t="s">
        <v>51</v>
      </c>
    </row>
    <row r="896" spans="1:20">
      <c r="A896" t="s">
        <v>617</v>
      </c>
      <c r="B896" t="s">
        <v>87</v>
      </c>
      <c r="C896" t="s">
        <v>49</v>
      </c>
      <c r="D896" t="s">
        <v>51</v>
      </c>
      <c r="E896" t="s">
        <v>51</v>
      </c>
      <c r="F896" t="s">
        <v>51</v>
      </c>
      <c r="G896" t="s">
        <v>52</v>
      </c>
      <c r="H896" t="s">
        <v>52</v>
      </c>
      <c r="I896" t="s">
        <v>52</v>
      </c>
      <c r="J896" t="s">
        <v>590</v>
      </c>
      <c r="K896" t="s">
        <v>52</v>
      </c>
      <c r="L896" t="s">
        <v>666</v>
      </c>
      <c r="M896" t="s">
        <v>654</v>
      </c>
      <c r="N896" t="s">
        <v>163</v>
      </c>
      <c r="O896" t="s">
        <v>153</v>
      </c>
      <c r="P896" t="s">
        <v>153</v>
      </c>
      <c r="Q896" t="s">
        <v>51</v>
      </c>
      <c r="R896" t="s">
        <v>51</v>
      </c>
      <c r="S896" t="s">
        <v>51</v>
      </c>
      <c r="T896" t="s">
        <v>51</v>
      </c>
    </row>
    <row r="897" spans="1:20">
      <c r="A897" t="s">
        <v>618</v>
      </c>
      <c r="B897" t="s">
        <v>89</v>
      </c>
      <c r="C897" t="s">
        <v>49</v>
      </c>
      <c r="D897" t="s">
        <v>51</v>
      </c>
      <c r="E897" t="s">
        <v>51</v>
      </c>
      <c r="F897" t="s">
        <v>51</v>
      </c>
      <c r="G897" t="s">
        <v>52</v>
      </c>
      <c r="H897" t="s">
        <v>52</v>
      </c>
      <c r="I897" t="s">
        <v>52</v>
      </c>
      <c r="J897" t="s">
        <v>590</v>
      </c>
      <c r="K897" t="s">
        <v>52</v>
      </c>
      <c r="L897" t="s">
        <v>666</v>
      </c>
      <c r="M897" t="s">
        <v>654</v>
      </c>
      <c r="N897" t="s">
        <v>163</v>
      </c>
      <c r="O897" t="s">
        <v>153</v>
      </c>
      <c r="P897" t="s">
        <v>153</v>
      </c>
      <c r="Q897" t="s">
        <v>51</v>
      </c>
      <c r="R897" t="s">
        <v>51</v>
      </c>
      <c r="S897" t="s">
        <v>51</v>
      </c>
      <c r="T897" t="s">
        <v>51</v>
      </c>
    </row>
    <row r="898" spans="1:20">
      <c r="A898" t="s">
        <v>619</v>
      </c>
      <c r="B898" t="s">
        <v>91</v>
      </c>
      <c r="C898" t="s">
        <v>49</v>
      </c>
      <c r="D898" t="s">
        <v>51</v>
      </c>
      <c r="E898" t="s">
        <v>51</v>
      </c>
      <c r="F898" t="s">
        <v>51</v>
      </c>
      <c r="G898" t="s">
        <v>52</v>
      </c>
      <c r="H898" t="s">
        <v>52</v>
      </c>
      <c r="I898" t="s">
        <v>52</v>
      </c>
      <c r="J898" t="s">
        <v>590</v>
      </c>
      <c r="K898" t="s">
        <v>52</v>
      </c>
      <c r="L898" t="s">
        <v>666</v>
      </c>
      <c r="M898" t="s">
        <v>654</v>
      </c>
      <c r="N898" t="s">
        <v>163</v>
      </c>
      <c r="O898" t="s">
        <v>153</v>
      </c>
      <c r="P898" t="s">
        <v>153</v>
      </c>
      <c r="Q898" t="s">
        <v>51</v>
      </c>
      <c r="R898" t="s">
        <v>51</v>
      </c>
      <c r="S898" t="s">
        <v>51</v>
      </c>
      <c r="T898" t="s">
        <v>51</v>
      </c>
    </row>
    <row r="899" spans="1:20">
      <c r="A899" t="s">
        <v>620</v>
      </c>
      <c r="B899" t="s">
        <v>93</v>
      </c>
      <c r="C899" t="s">
        <v>49</v>
      </c>
      <c r="D899" t="s">
        <v>51</v>
      </c>
      <c r="E899" t="s">
        <v>51</v>
      </c>
      <c r="F899" t="s">
        <v>51</v>
      </c>
      <c r="G899" t="s">
        <v>52</v>
      </c>
      <c r="H899" t="s">
        <v>52</v>
      </c>
      <c r="I899" t="s">
        <v>52</v>
      </c>
      <c r="J899" t="s">
        <v>590</v>
      </c>
      <c r="K899" t="s">
        <v>52</v>
      </c>
      <c r="L899" t="s">
        <v>666</v>
      </c>
      <c r="M899" t="s">
        <v>654</v>
      </c>
      <c r="N899" t="s">
        <v>163</v>
      </c>
      <c r="O899" t="s">
        <v>153</v>
      </c>
      <c r="P899" t="s">
        <v>153</v>
      </c>
      <c r="Q899" t="s">
        <v>51</v>
      </c>
      <c r="R899" t="s">
        <v>51</v>
      </c>
      <c r="S899" t="s">
        <v>51</v>
      </c>
      <c r="T899" t="s">
        <v>51</v>
      </c>
    </row>
    <row r="900" spans="1:20">
      <c r="A900" t="s">
        <v>621</v>
      </c>
      <c r="B900" t="s">
        <v>95</v>
      </c>
      <c r="C900" t="s">
        <v>49</v>
      </c>
      <c r="D900" t="s">
        <v>51</v>
      </c>
      <c r="E900" t="s">
        <v>51</v>
      </c>
      <c r="F900" t="s">
        <v>51</v>
      </c>
      <c r="G900" t="s">
        <v>52</v>
      </c>
      <c r="H900" t="s">
        <v>52</v>
      </c>
      <c r="I900" t="s">
        <v>52</v>
      </c>
      <c r="J900" t="s">
        <v>590</v>
      </c>
      <c r="K900" t="s">
        <v>52</v>
      </c>
      <c r="L900" t="s">
        <v>666</v>
      </c>
      <c r="M900" t="s">
        <v>654</v>
      </c>
      <c r="N900" t="s">
        <v>163</v>
      </c>
      <c r="O900" t="s">
        <v>153</v>
      </c>
      <c r="P900" t="s">
        <v>153</v>
      </c>
      <c r="Q900" t="s">
        <v>51</v>
      </c>
      <c r="R900" t="s">
        <v>51</v>
      </c>
      <c r="S900" t="s">
        <v>51</v>
      </c>
      <c r="T900" t="s">
        <v>51</v>
      </c>
    </row>
    <row r="901" spans="1:20">
      <c r="A901" t="s">
        <v>622</v>
      </c>
      <c r="B901" t="s">
        <v>97</v>
      </c>
      <c r="C901" t="s">
        <v>49</v>
      </c>
      <c r="D901" t="s">
        <v>51</v>
      </c>
      <c r="E901" t="s">
        <v>51</v>
      </c>
      <c r="F901" t="s">
        <v>51</v>
      </c>
      <c r="G901" t="s">
        <v>52</v>
      </c>
      <c r="H901" t="s">
        <v>52</v>
      </c>
      <c r="I901" t="s">
        <v>52</v>
      </c>
      <c r="J901" t="s">
        <v>590</v>
      </c>
      <c r="K901" t="s">
        <v>52</v>
      </c>
      <c r="L901" t="s">
        <v>666</v>
      </c>
      <c r="M901" t="s">
        <v>654</v>
      </c>
      <c r="N901" t="s">
        <v>163</v>
      </c>
      <c r="O901" t="s">
        <v>153</v>
      </c>
      <c r="P901" t="s">
        <v>153</v>
      </c>
      <c r="Q901" t="s">
        <v>51</v>
      </c>
      <c r="R901" t="s">
        <v>51</v>
      </c>
      <c r="S901" t="s">
        <v>51</v>
      </c>
      <c r="T901" t="s">
        <v>51</v>
      </c>
    </row>
    <row r="902" spans="1:20">
      <c r="A902" t="s">
        <v>623</v>
      </c>
      <c r="B902" t="s">
        <v>99</v>
      </c>
      <c r="C902" t="s">
        <v>49</v>
      </c>
      <c r="D902" t="s">
        <v>51</v>
      </c>
      <c r="E902" t="s">
        <v>51</v>
      </c>
      <c r="F902" t="s">
        <v>51</v>
      </c>
      <c r="G902" t="s">
        <v>52</v>
      </c>
      <c r="H902" t="s">
        <v>52</v>
      </c>
      <c r="I902" t="s">
        <v>52</v>
      </c>
      <c r="J902" t="s">
        <v>590</v>
      </c>
      <c r="K902" t="s">
        <v>52</v>
      </c>
      <c r="L902" t="s">
        <v>666</v>
      </c>
      <c r="M902" t="s">
        <v>654</v>
      </c>
      <c r="N902" t="s">
        <v>163</v>
      </c>
      <c r="O902" t="s">
        <v>153</v>
      </c>
      <c r="P902" t="s">
        <v>153</v>
      </c>
      <c r="Q902" t="s">
        <v>51</v>
      </c>
      <c r="R902" t="s">
        <v>51</v>
      </c>
      <c r="S902" t="s">
        <v>51</v>
      </c>
      <c r="T902" t="s">
        <v>51</v>
      </c>
    </row>
    <row r="903" spans="1:20">
      <c r="A903" t="s">
        <v>624</v>
      </c>
      <c r="B903" t="s">
        <v>101</v>
      </c>
      <c r="C903" t="s">
        <v>49</v>
      </c>
      <c r="D903" t="s">
        <v>51</v>
      </c>
      <c r="E903" t="s">
        <v>51</v>
      </c>
      <c r="F903" t="s">
        <v>51</v>
      </c>
      <c r="G903" t="s">
        <v>52</v>
      </c>
      <c r="H903" t="s">
        <v>52</v>
      </c>
      <c r="I903" t="s">
        <v>52</v>
      </c>
      <c r="J903" t="s">
        <v>590</v>
      </c>
      <c r="K903" t="s">
        <v>52</v>
      </c>
      <c r="L903" t="s">
        <v>666</v>
      </c>
      <c r="M903" t="s">
        <v>654</v>
      </c>
      <c r="N903" t="s">
        <v>163</v>
      </c>
      <c r="O903" t="s">
        <v>153</v>
      </c>
      <c r="P903" t="s">
        <v>153</v>
      </c>
      <c r="Q903" t="s">
        <v>51</v>
      </c>
      <c r="R903" t="s">
        <v>51</v>
      </c>
      <c r="S903" t="s">
        <v>51</v>
      </c>
      <c r="T903" t="s">
        <v>51</v>
      </c>
    </row>
    <row r="904" spans="1:20">
      <c r="A904" t="s">
        <v>625</v>
      </c>
      <c r="B904" t="s">
        <v>103</v>
      </c>
      <c r="C904" t="s">
        <v>49</v>
      </c>
      <c r="D904" t="s">
        <v>51</v>
      </c>
      <c r="E904" t="s">
        <v>51</v>
      </c>
      <c r="F904" t="s">
        <v>51</v>
      </c>
      <c r="G904" t="s">
        <v>52</v>
      </c>
      <c r="H904" t="s">
        <v>52</v>
      </c>
      <c r="I904" t="s">
        <v>52</v>
      </c>
      <c r="J904" t="s">
        <v>590</v>
      </c>
      <c r="K904" t="s">
        <v>52</v>
      </c>
      <c r="L904" t="s">
        <v>666</v>
      </c>
      <c r="M904" t="s">
        <v>654</v>
      </c>
      <c r="N904" t="s">
        <v>163</v>
      </c>
      <c r="O904" t="s">
        <v>153</v>
      </c>
      <c r="P904" t="s">
        <v>153</v>
      </c>
      <c r="Q904" t="s">
        <v>51</v>
      </c>
      <c r="R904" t="s">
        <v>51</v>
      </c>
      <c r="S904" t="s">
        <v>51</v>
      </c>
      <c r="T904" t="s">
        <v>51</v>
      </c>
    </row>
    <row r="905" spans="1:20">
      <c r="A905" t="s">
        <v>626</v>
      </c>
      <c r="B905" t="s">
        <v>105</v>
      </c>
      <c r="C905" t="s">
        <v>49</v>
      </c>
      <c r="D905" t="s">
        <v>51</v>
      </c>
      <c r="E905" t="s">
        <v>51</v>
      </c>
      <c r="F905" t="s">
        <v>51</v>
      </c>
      <c r="G905" t="s">
        <v>52</v>
      </c>
      <c r="H905" t="s">
        <v>52</v>
      </c>
      <c r="I905" t="s">
        <v>52</v>
      </c>
      <c r="J905" t="s">
        <v>590</v>
      </c>
      <c r="K905" t="s">
        <v>52</v>
      </c>
      <c r="L905" t="s">
        <v>666</v>
      </c>
      <c r="M905" t="s">
        <v>654</v>
      </c>
      <c r="N905" t="s">
        <v>163</v>
      </c>
      <c r="O905" t="s">
        <v>153</v>
      </c>
      <c r="P905" t="s">
        <v>153</v>
      </c>
      <c r="Q905" t="s">
        <v>51</v>
      </c>
      <c r="R905" t="s">
        <v>51</v>
      </c>
      <c r="S905" t="s">
        <v>51</v>
      </c>
      <c r="T905" t="s">
        <v>51</v>
      </c>
    </row>
    <row r="906" spans="1:20">
      <c r="A906" t="s">
        <v>627</v>
      </c>
      <c r="B906" t="s">
        <v>107</v>
      </c>
      <c r="C906" t="s">
        <v>49</v>
      </c>
      <c r="D906" t="s">
        <v>51</v>
      </c>
      <c r="E906" t="s">
        <v>51</v>
      </c>
      <c r="F906" t="s">
        <v>51</v>
      </c>
      <c r="G906" t="s">
        <v>52</v>
      </c>
      <c r="H906" t="s">
        <v>52</v>
      </c>
      <c r="I906" t="s">
        <v>52</v>
      </c>
      <c r="J906" t="s">
        <v>590</v>
      </c>
      <c r="K906" t="s">
        <v>52</v>
      </c>
      <c r="L906" t="s">
        <v>666</v>
      </c>
      <c r="M906" t="s">
        <v>654</v>
      </c>
      <c r="N906" t="s">
        <v>163</v>
      </c>
      <c r="O906" t="s">
        <v>153</v>
      </c>
      <c r="P906" t="s">
        <v>153</v>
      </c>
      <c r="Q906" t="s">
        <v>51</v>
      </c>
      <c r="R906" t="s">
        <v>51</v>
      </c>
      <c r="S906" t="s">
        <v>51</v>
      </c>
      <c r="T906" t="s">
        <v>51</v>
      </c>
    </row>
    <row r="907" spans="1:20">
      <c r="A907" t="s">
        <v>628</v>
      </c>
      <c r="B907" t="s">
        <v>109</v>
      </c>
      <c r="C907" t="s">
        <v>49</v>
      </c>
      <c r="D907" t="s">
        <v>51</v>
      </c>
      <c r="E907" t="s">
        <v>51</v>
      </c>
      <c r="F907" t="s">
        <v>51</v>
      </c>
      <c r="G907" t="s">
        <v>52</v>
      </c>
      <c r="H907" t="s">
        <v>52</v>
      </c>
      <c r="I907" t="s">
        <v>52</v>
      </c>
      <c r="J907" t="s">
        <v>590</v>
      </c>
      <c r="K907" t="s">
        <v>52</v>
      </c>
      <c r="L907" t="s">
        <v>666</v>
      </c>
      <c r="M907" t="s">
        <v>654</v>
      </c>
      <c r="N907" t="s">
        <v>163</v>
      </c>
      <c r="O907" t="s">
        <v>153</v>
      </c>
      <c r="P907" t="s">
        <v>153</v>
      </c>
      <c r="Q907" t="s">
        <v>51</v>
      </c>
      <c r="R907" t="s">
        <v>51</v>
      </c>
      <c r="S907" t="s">
        <v>51</v>
      </c>
      <c r="T907" t="s">
        <v>51</v>
      </c>
    </row>
    <row r="908" spans="1:20">
      <c r="A908" t="s">
        <v>629</v>
      </c>
      <c r="B908" t="s">
        <v>111</v>
      </c>
      <c r="C908" t="s">
        <v>49</v>
      </c>
      <c r="D908" t="s">
        <v>51</v>
      </c>
      <c r="E908" t="s">
        <v>51</v>
      </c>
      <c r="F908" t="s">
        <v>51</v>
      </c>
      <c r="G908" t="s">
        <v>52</v>
      </c>
      <c r="H908" t="s">
        <v>52</v>
      </c>
      <c r="I908" t="s">
        <v>52</v>
      </c>
      <c r="J908" t="s">
        <v>590</v>
      </c>
      <c r="K908" t="s">
        <v>52</v>
      </c>
      <c r="L908" t="s">
        <v>666</v>
      </c>
      <c r="M908" t="s">
        <v>654</v>
      </c>
      <c r="N908" t="s">
        <v>163</v>
      </c>
      <c r="O908" t="s">
        <v>153</v>
      </c>
      <c r="P908" t="s">
        <v>153</v>
      </c>
      <c r="Q908" t="s">
        <v>51</v>
      </c>
      <c r="R908" t="s">
        <v>51</v>
      </c>
      <c r="S908" t="s">
        <v>51</v>
      </c>
      <c r="T908" t="s">
        <v>51</v>
      </c>
    </row>
    <row r="909" spans="1:20">
      <c r="A909" t="s">
        <v>630</v>
      </c>
      <c r="B909" t="s">
        <v>113</v>
      </c>
      <c r="C909" t="s">
        <v>49</v>
      </c>
      <c r="D909" t="s">
        <v>51</v>
      </c>
      <c r="E909" t="s">
        <v>51</v>
      </c>
      <c r="F909" t="s">
        <v>51</v>
      </c>
      <c r="G909" t="s">
        <v>52</v>
      </c>
      <c r="H909" t="s">
        <v>52</v>
      </c>
      <c r="I909" t="s">
        <v>52</v>
      </c>
      <c r="J909" t="s">
        <v>590</v>
      </c>
      <c r="K909" t="s">
        <v>52</v>
      </c>
      <c r="L909" t="s">
        <v>666</v>
      </c>
      <c r="M909" t="s">
        <v>654</v>
      </c>
      <c r="N909" t="s">
        <v>163</v>
      </c>
      <c r="O909" t="s">
        <v>153</v>
      </c>
      <c r="P909" t="s">
        <v>153</v>
      </c>
      <c r="Q909" t="s">
        <v>51</v>
      </c>
      <c r="R909" t="s">
        <v>51</v>
      </c>
      <c r="S909" t="s">
        <v>51</v>
      </c>
      <c r="T909" t="s">
        <v>51</v>
      </c>
    </row>
    <row r="910" spans="1:20">
      <c r="A910" t="s">
        <v>631</v>
      </c>
      <c r="B910" t="s">
        <v>115</v>
      </c>
      <c r="C910" t="s">
        <v>49</v>
      </c>
      <c r="D910" t="s">
        <v>51</v>
      </c>
      <c r="E910" t="s">
        <v>51</v>
      </c>
      <c r="F910" t="s">
        <v>51</v>
      </c>
      <c r="G910" t="s">
        <v>52</v>
      </c>
      <c r="H910" t="s">
        <v>52</v>
      </c>
      <c r="I910" t="s">
        <v>52</v>
      </c>
      <c r="J910" t="s">
        <v>590</v>
      </c>
      <c r="K910" t="s">
        <v>52</v>
      </c>
      <c r="L910" t="s">
        <v>666</v>
      </c>
      <c r="M910" t="s">
        <v>654</v>
      </c>
      <c r="N910" t="s">
        <v>163</v>
      </c>
      <c r="O910" t="s">
        <v>153</v>
      </c>
      <c r="P910" t="s">
        <v>153</v>
      </c>
      <c r="Q910" t="s">
        <v>51</v>
      </c>
      <c r="R910" t="s">
        <v>51</v>
      </c>
      <c r="S910" t="s">
        <v>51</v>
      </c>
      <c r="T910" t="s">
        <v>51</v>
      </c>
    </row>
    <row r="911" spans="1:20">
      <c r="A911" t="s">
        <v>632</v>
      </c>
      <c r="B911" t="s">
        <v>117</v>
      </c>
      <c r="C911" t="s">
        <v>49</v>
      </c>
      <c r="D911" t="s">
        <v>51</v>
      </c>
      <c r="E911" t="s">
        <v>51</v>
      </c>
      <c r="F911" t="s">
        <v>51</v>
      </c>
      <c r="G911" t="s">
        <v>52</v>
      </c>
      <c r="H911" t="s">
        <v>52</v>
      </c>
      <c r="I911" t="s">
        <v>52</v>
      </c>
      <c r="J911" t="s">
        <v>590</v>
      </c>
      <c r="K911" t="s">
        <v>52</v>
      </c>
      <c r="L911" t="s">
        <v>666</v>
      </c>
      <c r="M911" t="s">
        <v>654</v>
      </c>
      <c r="N911" t="s">
        <v>163</v>
      </c>
      <c r="O911" t="s">
        <v>153</v>
      </c>
      <c r="P911" t="s">
        <v>153</v>
      </c>
      <c r="Q911" t="s">
        <v>51</v>
      </c>
      <c r="R911" t="s">
        <v>51</v>
      </c>
      <c r="S911" t="s">
        <v>51</v>
      </c>
      <c r="T911" t="s">
        <v>51</v>
      </c>
    </row>
    <row r="912" spans="1:20">
      <c r="A912" t="s">
        <v>633</v>
      </c>
      <c r="B912" t="s">
        <v>119</v>
      </c>
      <c r="C912" t="s">
        <v>49</v>
      </c>
      <c r="D912" t="s">
        <v>51</v>
      </c>
      <c r="E912" t="s">
        <v>51</v>
      </c>
      <c r="F912" t="s">
        <v>51</v>
      </c>
      <c r="G912" t="s">
        <v>52</v>
      </c>
      <c r="H912" t="s">
        <v>52</v>
      </c>
      <c r="I912" t="s">
        <v>52</v>
      </c>
      <c r="J912" t="s">
        <v>590</v>
      </c>
      <c r="K912" t="s">
        <v>52</v>
      </c>
      <c r="L912" t="s">
        <v>666</v>
      </c>
      <c r="M912" t="s">
        <v>654</v>
      </c>
      <c r="N912" t="s">
        <v>163</v>
      </c>
      <c r="O912" t="s">
        <v>153</v>
      </c>
      <c r="P912" t="s">
        <v>153</v>
      </c>
      <c r="Q912" t="s">
        <v>51</v>
      </c>
      <c r="R912" t="s">
        <v>51</v>
      </c>
      <c r="S912" t="s">
        <v>51</v>
      </c>
      <c r="T912" t="s">
        <v>51</v>
      </c>
    </row>
    <row r="913" spans="1:20">
      <c r="A913" t="s">
        <v>634</v>
      </c>
      <c r="B913" t="s">
        <v>121</v>
      </c>
      <c r="C913" t="s">
        <v>49</v>
      </c>
      <c r="D913" t="s">
        <v>51</v>
      </c>
      <c r="E913" t="s">
        <v>51</v>
      </c>
      <c r="F913" t="s">
        <v>51</v>
      </c>
      <c r="G913" t="s">
        <v>52</v>
      </c>
      <c r="H913" t="s">
        <v>52</v>
      </c>
      <c r="I913" t="s">
        <v>52</v>
      </c>
      <c r="J913" t="s">
        <v>590</v>
      </c>
      <c r="K913" t="s">
        <v>52</v>
      </c>
      <c r="L913" t="s">
        <v>666</v>
      </c>
      <c r="M913" t="s">
        <v>654</v>
      </c>
      <c r="N913" t="s">
        <v>163</v>
      </c>
      <c r="O913" t="s">
        <v>153</v>
      </c>
      <c r="P913" t="s">
        <v>153</v>
      </c>
      <c r="Q913" t="s">
        <v>51</v>
      </c>
      <c r="R913" t="s">
        <v>51</v>
      </c>
      <c r="S913" t="s">
        <v>51</v>
      </c>
      <c r="T913" t="s">
        <v>51</v>
      </c>
    </row>
    <row r="914" spans="1:20">
      <c r="A914" t="s">
        <v>635</v>
      </c>
      <c r="B914" t="s">
        <v>123</v>
      </c>
      <c r="C914" t="s">
        <v>49</v>
      </c>
      <c r="D914" t="s">
        <v>51</v>
      </c>
      <c r="E914" t="s">
        <v>51</v>
      </c>
      <c r="F914" t="s">
        <v>51</v>
      </c>
      <c r="G914" t="s">
        <v>52</v>
      </c>
      <c r="H914" t="s">
        <v>52</v>
      </c>
      <c r="I914" t="s">
        <v>52</v>
      </c>
      <c r="J914" t="s">
        <v>590</v>
      </c>
      <c r="K914" t="s">
        <v>52</v>
      </c>
      <c r="L914" t="s">
        <v>666</v>
      </c>
      <c r="M914" t="s">
        <v>654</v>
      </c>
      <c r="N914" t="s">
        <v>163</v>
      </c>
      <c r="O914" t="s">
        <v>153</v>
      </c>
      <c r="P914" t="s">
        <v>153</v>
      </c>
      <c r="Q914" t="s">
        <v>51</v>
      </c>
      <c r="R914" t="s">
        <v>51</v>
      </c>
      <c r="S914" t="s">
        <v>51</v>
      </c>
      <c r="T914" t="s">
        <v>51</v>
      </c>
    </row>
    <row r="915" spans="1:20">
      <c r="A915" t="s">
        <v>636</v>
      </c>
      <c r="B915" t="s">
        <v>125</v>
      </c>
      <c r="C915" t="s">
        <v>49</v>
      </c>
      <c r="D915" t="s">
        <v>51</v>
      </c>
      <c r="E915" t="s">
        <v>51</v>
      </c>
      <c r="F915" t="s">
        <v>51</v>
      </c>
      <c r="G915" t="s">
        <v>52</v>
      </c>
      <c r="H915" t="s">
        <v>52</v>
      </c>
      <c r="I915" t="s">
        <v>52</v>
      </c>
      <c r="J915" t="s">
        <v>590</v>
      </c>
      <c r="K915" t="s">
        <v>52</v>
      </c>
      <c r="L915" t="s">
        <v>666</v>
      </c>
      <c r="M915" t="s">
        <v>654</v>
      </c>
      <c r="N915" t="s">
        <v>163</v>
      </c>
      <c r="O915" t="s">
        <v>153</v>
      </c>
      <c r="P915" t="s">
        <v>153</v>
      </c>
      <c r="Q915" t="s">
        <v>51</v>
      </c>
      <c r="R915" t="s">
        <v>51</v>
      </c>
      <c r="S915" t="s">
        <v>51</v>
      </c>
      <c r="T915" t="s">
        <v>51</v>
      </c>
    </row>
    <row r="916" spans="1:20">
      <c r="A916" t="s">
        <v>637</v>
      </c>
      <c r="B916" t="s">
        <v>127</v>
      </c>
      <c r="C916" t="s">
        <v>49</v>
      </c>
      <c r="D916" t="s">
        <v>51</v>
      </c>
      <c r="E916" t="s">
        <v>51</v>
      </c>
      <c r="F916" t="s">
        <v>51</v>
      </c>
      <c r="G916" t="s">
        <v>52</v>
      </c>
      <c r="H916" t="s">
        <v>52</v>
      </c>
      <c r="I916" t="s">
        <v>52</v>
      </c>
      <c r="J916" t="s">
        <v>590</v>
      </c>
      <c r="K916" t="s">
        <v>52</v>
      </c>
      <c r="L916" t="s">
        <v>666</v>
      </c>
      <c r="M916" t="s">
        <v>654</v>
      </c>
      <c r="N916" t="s">
        <v>163</v>
      </c>
      <c r="O916" t="s">
        <v>153</v>
      </c>
      <c r="P916" t="s">
        <v>153</v>
      </c>
      <c r="Q916" t="s">
        <v>51</v>
      </c>
      <c r="R916" t="s">
        <v>51</v>
      </c>
      <c r="S916" t="s">
        <v>51</v>
      </c>
      <c r="T916" t="s">
        <v>51</v>
      </c>
    </row>
    <row r="917" spans="1:20">
      <c r="A917" t="s">
        <v>638</v>
      </c>
      <c r="B917" t="s">
        <v>129</v>
      </c>
      <c r="C917" t="s">
        <v>49</v>
      </c>
      <c r="D917" t="s">
        <v>51</v>
      </c>
      <c r="E917" t="s">
        <v>51</v>
      </c>
      <c r="F917" t="s">
        <v>51</v>
      </c>
      <c r="G917" t="s">
        <v>52</v>
      </c>
      <c r="H917" t="s">
        <v>52</v>
      </c>
      <c r="I917" t="s">
        <v>52</v>
      </c>
      <c r="J917" t="s">
        <v>590</v>
      </c>
      <c r="K917" t="s">
        <v>52</v>
      </c>
      <c r="L917" t="s">
        <v>666</v>
      </c>
      <c r="M917" t="s">
        <v>654</v>
      </c>
      <c r="N917" t="s">
        <v>163</v>
      </c>
      <c r="O917" t="s">
        <v>153</v>
      </c>
      <c r="P917" t="s">
        <v>153</v>
      </c>
      <c r="Q917" t="s">
        <v>51</v>
      </c>
      <c r="R917" t="s">
        <v>51</v>
      </c>
      <c r="S917" t="s">
        <v>51</v>
      </c>
      <c r="T917" t="s">
        <v>51</v>
      </c>
    </row>
    <row r="918" spans="1:20">
      <c r="A918" t="s">
        <v>639</v>
      </c>
      <c r="B918" t="s">
        <v>131</v>
      </c>
      <c r="C918" t="s">
        <v>49</v>
      </c>
      <c r="D918" t="s">
        <v>51</v>
      </c>
      <c r="E918" t="s">
        <v>51</v>
      </c>
      <c r="F918" t="s">
        <v>51</v>
      </c>
      <c r="G918" t="s">
        <v>52</v>
      </c>
      <c r="H918" t="s">
        <v>52</v>
      </c>
      <c r="I918" t="s">
        <v>52</v>
      </c>
      <c r="J918" t="s">
        <v>590</v>
      </c>
      <c r="K918" t="s">
        <v>52</v>
      </c>
      <c r="L918" t="s">
        <v>666</v>
      </c>
      <c r="M918" t="s">
        <v>654</v>
      </c>
      <c r="N918" t="s">
        <v>163</v>
      </c>
      <c r="O918" t="s">
        <v>153</v>
      </c>
      <c r="P918" t="s">
        <v>153</v>
      </c>
      <c r="Q918" t="s">
        <v>51</v>
      </c>
      <c r="R918" t="s">
        <v>51</v>
      </c>
      <c r="S918" t="s">
        <v>51</v>
      </c>
      <c r="T918" t="s">
        <v>51</v>
      </c>
    </row>
    <row r="919" spans="1:20">
      <c r="A919" t="s">
        <v>640</v>
      </c>
      <c r="B919" t="s">
        <v>133</v>
      </c>
      <c r="C919" t="s">
        <v>49</v>
      </c>
      <c r="D919" t="s">
        <v>51</v>
      </c>
      <c r="E919" t="s">
        <v>51</v>
      </c>
      <c r="F919" t="s">
        <v>51</v>
      </c>
      <c r="G919" t="s">
        <v>52</v>
      </c>
      <c r="H919" t="s">
        <v>52</v>
      </c>
      <c r="I919" t="s">
        <v>52</v>
      </c>
      <c r="J919" t="s">
        <v>590</v>
      </c>
      <c r="K919" t="s">
        <v>52</v>
      </c>
      <c r="L919" t="s">
        <v>666</v>
      </c>
      <c r="M919" t="s">
        <v>654</v>
      </c>
      <c r="N919" t="s">
        <v>163</v>
      </c>
      <c r="O919" t="s">
        <v>153</v>
      </c>
      <c r="P919" t="s">
        <v>153</v>
      </c>
      <c r="Q919" t="s">
        <v>51</v>
      </c>
      <c r="R919" t="s">
        <v>51</v>
      </c>
      <c r="S919" t="s">
        <v>51</v>
      </c>
      <c r="T919" t="s">
        <v>51</v>
      </c>
    </row>
    <row r="920" spans="1:20">
      <c r="A920" t="s">
        <v>641</v>
      </c>
      <c r="B920" t="s">
        <v>135</v>
      </c>
      <c r="C920" t="s">
        <v>49</v>
      </c>
      <c r="D920" t="s">
        <v>51</v>
      </c>
      <c r="E920" t="s">
        <v>51</v>
      </c>
      <c r="F920" t="s">
        <v>51</v>
      </c>
      <c r="G920" t="s">
        <v>52</v>
      </c>
      <c r="H920" t="s">
        <v>52</v>
      </c>
      <c r="I920" t="s">
        <v>52</v>
      </c>
      <c r="J920" t="s">
        <v>590</v>
      </c>
      <c r="K920" t="s">
        <v>52</v>
      </c>
      <c r="L920" t="s">
        <v>666</v>
      </c>
      <c r="M920" t="s">
        <v>654</v>
      </c>
      <c r="N920" t="s">
        <v>163</v>
      </c>
      <c r="O920" t="s">
        <v>153</v>
      </c>
      <c r="P920" t="s">
        <v>153</v>
      </c>
      <c r="Q920" t="s">
        <v>51</v>
      </c>
      <c r="R920" t="s">
        <v>51</v>
      </c>
      <c r="S920" t="s">
        <v>51</v>
      </c>
      <c r="T920" t="s">
        <v>51</v>
      </c>
    </row>
    <row r="921" spans="1:20">
      <c r="A921" t="s">
        <v>642</v>
      </c>
      <c r="B921" t="s">
        <v>137</v>
      </c>
      <c r="C921" t="s">
        <v>49</v>
      </c>
      <c r="D921" t="s">
        <v>51</v>
      </c>
      <c r="E921" t="s">
        <v>51</v>
      </c>
      <c r="F921" t="s">
        <v>51</v>
      </c>
      <c r="G921" t="s">
        <v>52</v>
      </c>
      <c r="H921" t="s">
        <v>52</v>
      </c>
      <c r="I921" t="s">
        <v>52</v>
      </c>
      <c r="J921" t="s">
        <v>590</v>
      </c>
      <c r="K921" t="s">
        <v>52</v>
      </c>
      <c r="L921" t="s">
        <v>666</v>
      </c>
      <c r="M921" t="s">
        <v>654</v>
      </c>
      <c r="N921" t="s">
        <v>163</v>
      </c>
      <c r="O921" t="s">
        <v>153</v>
      </c>
      <c r="P921" t="s">
        <v>153</v>
      </c>
      <c r="Q921" t="s">
        <v>51</v>
      </c>
      <c r="R921" t="s">
        <v>51</v>
      </c>
      <c r="S921" t="s">
        <v>51</v>
      </c>
      <c r="T921" t="s">
        <v>51</v>
      </c>
    </row>
    <row r="922" spans="1:20">
      <c r="A922" t="s">
        <v>643</v>
      </c>
      <c r="B922" t="s">
        <v>139</v>
      </c>
      <c r="C922" t="s">
        <v>49</v>
      </c>
      <c r="D922" t="s">
        <v>51</v>
      </c>
      <c r="E922" t="s">
        <v>51</v>
      </c>
      <c r="F922" t="s">
        <v>51</v>
      </c>
      <c r="G922" t="s">
        <v>52</v>
      </c>
      <c r="H922" t="s">
        <v>52</v>
      </c>
      <c r="I922" t="s">
        <v>52</v>
      </c>
      <c r="J922" t="s">
        <v>590</v>
      </c>
      <c r="K922" t="s">
        <v>52</v>
      </c>
      <c r="L922" t="s">
        <v>666</v>
      </c>
      <c r="M922" t="s">
        <v>654</v>
      </c>
      <c r="N922" t="s">
        <v>163</v>
      </c>
      <c r="O922" t="s">
        <v>153</v>
      </c>
      <c r="P922" t="s">
        <v>153</v>
      </c>
      <c r="Q922" t="s">
        <v>51</v>
      </c>
      <c r="R922" t="s">
        <v>51</v>
      </c>
      <c r="S922" t="s">
        <v>51</v>
      </c>
      <c r="T922" t="s">
        <v>51</v>
      </c>
    </row>
    <row r="923" spans="1:20">
      <c r="A923" t="s">
        <v>644</v>
      </c>
      <c r="B923" t="s">
        <v>141</v>
      </c>
      <c r="C923" t="s">
        <v>49</v>
      </c>
      <c r="D923" t="s">
        <v>51</v>
      </c>
      <c r="E923" t="s">
        <v>51</v>
      </c>
      <c r="F923" t="s">
        <v>51</v>
      </c>
      <c r="G923" t="s">
        <v>52</v>
      </c>
      <c r="H923" t="s">
        <v>52</v>
      </c>
      <c r="I923" t="s">
        <v>52</v>
      </c>
      <c r="J923" t="s">
        <v>590</v>
      </c>
      <c r="K923" t="s">
        <v>52</v>
      </c>
      <c r="L923" t="s">
        <v>666</v>
      </c>
      <c r="M923" t="s">
        <v>654</v>
      </c>
      <c r="N923" t="s">
        <v>163</v>
      </c>
      <c r="O923" t="s">
        <v>153</v>
      </c>
      <c r="P923" t="s">
        <v>153</v>
      </c>
      <c r="Q923" t="s">
        <v>51</v>
      </c>
      <c r="R923" t="s">
        <v>51</v>
      </c>
      <c r="S923" t="s">
        <v>51</v>
      </c>
      <c r="T923" t="s">
        <v>51</v>
      </c>
    </row>
    <row r="924" spans="1:20">
      <c r="A924" t="s">
        <v>645</v>
      </c>
      <c r="B924" t="s">
        <v>143</v>
      </c>
      <c r="C924" t="s">
        <v>49</v>
      </c>
      <c r="D924" t="s">
        <v>51</v>
      </c>
      <c r="E924" t="s">
        <v>51</v>
      </c>
      <c r="F924" t="s">
        <v>51</v>
      </c>
      <c r="G924" t="s">
        <v>52</v>
      </c>
      <c r="H924" t="s">
        <v>52</v>
      </c>
      <c r="I924" t="s">
        <v>52</v>
      </c>
      <c r="J924" t="s">
        <v>590</v>
      </c>
      <c r="K924" t="s">
        <v>52</v>
      </c>
      <c r="L924" t="s">
        <v>666</v>
      </c>
      <c r="M924" t="s">
        <v>654</v>
      </c>
      <c r="N924" t="s">
        <v>163</v>
      </c>
      <c r="O924" t="s">
        <v>153</v>
      </c>
      <c r="P924" t="s">
        <v>153</v>
      </c>
      <c r="Q924" t="s">
        <v>51</v>
      </c>
      <c r="R924" t="s">
        <v>51</v>
      </c>
      <c r="S924" t="s">
        <v>51</v>
      </c>
      <c r="T924" t="s">
        <v>51</v>
      </c>
    </row>
    <row r="925" spans="1:20">
      <c r="A925" t="s">
        <v>646</v>
      </c>
      <c r="B925" t="s">
        <v>145</v>
      </c>
      <c r="C925" t="s">
        <v>49</v>
      </c>
      <c r="D925" t="s">
        <v>51</v>
      </c>
      <c r="E925" t="s">
        <v>51</v>
      </c>
      <c r="F925" t="s">
        <v>51</v>
      </c>
      <c r="G925" t="s">
        <v>52</v>
      </c>
      <c r="H925" t="s">
        <v>52</v>
      </c>
      <c r="I925" t="s">
        <v>52</v>
      </c>
      <c r="J925" t="s">
        <v>590</v>
      </c>
      <c r="K925" t="s">
        <v>52</v>
      </c>
      <c r="L925" t="s">
        <v>666</v>
      </c>
      <c r="M925" t="s">
        <v>654</v>
      </c>
      <c r="N925" t="s">
        <v>163</v>
      </c>
      <c r="O925" t="s">
        <v>153</v>
      </c>
      <c r="P925" t="s">
        <v>153</v>
      </c>
      <c r="Q925" t="s">
        <v>51</v>
      </c>
      <c r="R925" t="s">
        <v>51</v>
      </c>
      <c r="S925" t="s">
        <v>51</v>
      </c>
      <c r="T925" t="s">
        <v>51</v>
      </c>
    </row>
    <row r="926" spans="1:20">
      <c r="A926" t="s">
        <v>647</v>
      </c>
      <c r="B926" t="s">
        <v>147</v>
      </c>
      <c r="C926" t="s">
        <v>49</v>
      </c>
      <c r="D926" t="s">
        <v>51</v>
      </c>
      <c r="E926" t="s">
        <v>51</v>
      </c>
      <c r="F926" t="s">
        <v>51</v>
      </c>
      <c r="G926" t="s">
        <v>52</v>
      </c>
      <c r="H926" t="s">
        <v>52</v>
      </c>
      <c r="I926" t="s">
        <v>52</v>
      </c>
      <c r="J926" t="s">
        <v>590</v>
      </c>
      <c r="K926" t="s">
        <v>52</v>
      </c>
      <c r="L926" t="s">
        <v>666</v>
      </c>
      <c r="M926" t="s">
        <v>654</v>
      </c>
      <c r="N926" t="s">
        <v>163</v>
      </c>
      <c r="O926" t="s">
        <v>153</v>
      </c>
      <c r="P926" t="s">
        <v>153</v>
      </c>
      <c r="Q926" t="s">
        <v>51</v>
      </c>
      <c r="R926" t="s">
        <v>51</v>
      </c>
      <c r="S926" t="s">
        <v>51</v>
      </c>
      <c r="T926" t="s">
        <v>51</v>
      </c>
    </row>
    <row r="927" spans="1:20">
      <c r="A927" t="s">
        <v>648</v>
      </c>
      <c r="B927" t="s">
        <v>149</v>
      </c>
      <c r="C927" t="s">
        <v>49</v>
      </c>
      <c r="D927" t="s">
        <v>51</v>
      </c>
      <c r="E927" t="s">
        <v>51</v>
      </c>
      <c r="F927" t="s">
        <v>51</v>
      </c>
      <c r="G927" t="s">
        <v>52</v>
      </c>
      <c r="H927" t="s">
        <v>52</v>
      </c>
      <c r="I927" t="s">
        <v>52</v>
      </c>
      <c r="J927" t="s">
        <v>590</v>
      </c>
      <c r="K927" t="s">
        <v>52</v>
      </c>
      <c r="L927" t="s">
        <v>666</v>
      </c>
      <c r="M927" t="s">
        <v>654</v>
      </c>
      <c r="N927" t="s">
        <v>163</v>
      </c>
      <c r="O927" t="s">
        <v>153</v>
      </c>
      <c r="P927" t="s">
        <v>153</v>
      </c>
      <c r="Q927" t="s">
        <v>51</v>
      </c>
      <c r="R927" t="s">
        <v>51</v>
      </c>
      <c r="S927" t="s">
        <v>51</v>
      </c>
      <c r="T927" t="s">
        <v>51</v>
      </c>
    </row>
    <row r="928" spans="1:20">
      <c r="A928" t="s">
        <v>649</v>
      </c>
      <c r="B928" t="s">
        <v>151</v>
      </c>
      <c r="C928" t="s">
        <v>49</v>
      </c>
      <c r="D928" t="s">
        <v>51</v>
      </c>
      <c r="E928" t="s">
        <v>51</v>
      </c>
      <c r="F928" t="s">
        <v>51</v>
      </c>
      <c r="G928" t="s">
        <v>52</v>
      </c>
      <c r="H928" t="s">
        <v>52</v>
      </c>
      <c r="I928" t="s">
        <v>52</v>
      </c>
      <c r="J928" t="s">
        <v>590</v>
      </c>
      <c r="K928" t="s">
        <v>52</v>
      </c>
      <c r="L928" t="s">
        <v>666</v>
      </c>
      <c r="M928" t="s">
        <v>654</v>
      </c>
      <c r="N928" t="s">
        <v>163</v>
      </c>
      <c r="O928" t="s">
        <v>153</v>
      </c>
      <c r="P928" t="s">
        <v>153</v>
      </c>
      <c r="Q928" t="s">
        <v>51</v>
      </c>
      <c r="R928" t="s">
        <v>51</v>
      </c>
      <c r="S928" t="s">
        <v>51</v>
      </c>
      <c r="T928" t="s">
        <v>51</v>
      </c>
    </row>
    <row r="929" spans="1:20">
      <c r="A929" t="s">
        <v>650</v>
      </c>
      <c r="B929" t="s">
        <v>153</v>
      </c>
      <c r="C929" t="s">
        <v>49</v>
      </c>
      <c r="D929" t="s">
        <v>51</v>
      </c>
      <c r="E929" t="s">
        <v>51</v>
      </c>
      <c r="F929" t="s">
        <v>51</v>
      </c>
      <c r="G929" t="s">
        <v>52</v>
      </c>
      <c r="H929" t="s">
        <v>52</v>
      </c>
      <c r="I929" t="s">
        <v>52</v>
      </c>
      <c r="J929" t="s">
        <v>590</v>
      </c>
      <c r="K929" t="s">
        <v>52</v>
      </c>
      <c r="L929" t="s">
        <v>666</v>
      </c>
      <c r="M929" t="s">
        <v>654</v>
      </c>
      <c r="N929" t="s">
        <v>163</v>
      </c>
      <c r="O929" t="s">
        <v>153</v>
      </c>
      <c r="P929" t="s">
        <v>153</v>
      </c>
      <c r="Q929" t="s">
        <v>51</v>
      </c>
      <c r="R929" t="s">
        <v>51</v>
      </c>
      <c r="S929" t="s">
        <v>51</v>
      </c>
      <c r="T929" t="s">
        <v>51</v>
      </c>
    </row>
    <row r="930" spans="1:20">
      <c r="A930" t="s">
        <v>588</v>
      </c>
      <c r="B930" t="s">
        <v>589</v>
      </c>
      <c r="C930" t="s">
        <v>165</v>
      </c>
      <c r="D930" t="s">
        <v>50</v>
      </c>
      <c r="E930" t="s">
        <v>51</v>
      </c>
      <c r="F930" t="s">
        <v>51</v>
      </c>
      <c r="G930" t="s">
        <v>52</v>
      </c>
      <c r="H930" t="s">
        <v>52</v>
      </c>
      <c r="I930" t="s">
        <v>52</v>
      </c>
      <c r="J930" t="s">
        <v>52</v>
      </c>
      <c r="K930" t="s">
        <v>52</v>
      </c>
      <c r="L930" t="s">
        <v>667</v>
      </c>
      <c r="M930" t="s">
        <v>654</v>
      </c>
      <c r="N930" t="s">
        <v>163</v>
      </c>
      <c r="O930" t="s">
        <v>668</v>
      </c>
      <c r="P930" t="s">
        <v>668</v>
      </c>
      <c r="Q930" t="s">
        <v>51</v>
      </c>
      <c r="R930" t="s">
        <v>51</v>
      </c>
      <c r="S930" t="s">
        <v>51</v>
      </c>
      <c r="T930" t="s">
        <v>51</v>
      </c>
    </row>
    <row r="931" spans="1:20">
      <c r="A931" t="s">
        <v>614</v>
      </c>
      <c r="B931" t="s">
        <v>81</v>
      </c>
      <c r="C931" t="s">
        <v>49</v>
      </c>
      <c r="D931" t="s">
        <v>51</v>
      </c>
      <c r="E931" t="s">
        <v>51</v>
      </c>
      <c r="F931" t="s">
        <v>51</v>
      </c>
      <c r="G931" t="s">
        <v>52</v>
      </c>
      <c r="H931" t="s">
        <v>52</v>
      </c>
      <c r="I931" t="s">
        <v>52</v>
      </c>
      <c r="J931" t="s">
        <v>590</v>
      </c>
      <c r="K931" t="s">
        <v>52</v>
      </c>
      <c r="L931" t="s">
        <v>667</v>
      </c>
      <c r="M931" t="s">
        <v>654</v>
      </c>
      <c r="N931" t="s">
        <v>163</v>
      </c>
      <c r="O931" t="s">
        <v>668</v>
      </c>
      <c r="P931" t="s">
        <v>668</v>
      </c>
      <c r="Q931" t="s">
        <v>51</v>
      </c>
      <c r="R931" t="s">
        <v>51</v>
      </c>
      <c r="S931" t="s">
        <v>51</v>
      </c>
      <c r="T931" t="s">
        <v>51</v>
      </c>
    </row>
    <row r="932" spans="1:20">
      <c r="A932" t="s">
        <v>615</v>
      </c>
      <c r="B932" t="s">
        <v>83</v>
      </c>
      <c r="C932" t="s">
        <v>49</v>
      </c>
      <c r="D932" t="s">
        <v>51</v>
      </c>
      <c r="E932" t="s">
        <v>51</v>
      </c>
      <c r="F932" t="s">
        <v>51</v>
      </c>
      <c r="G932" t="s">
        <v>52</v>
      </c>
      <c r="H932" t="s">
        <v>52</v>
      </c>
      <c r="I932" t="s">
        <v>52</v>
      </c>
      <c r="J932" t="s">
        <v>590</v>
      </c>
      <c r="K932" t="s">
        <v>52</v>
      </c>
      <c r="L932" t="s">
        <v>667</v>
      </c>
      <c r="M932" t="s">
        <v>654</v>
      </c>
      <c r="N932" t="s">
        <v>163</v>
      </c>
      <c r="O932" t="s">
        <v>668</v>
      </c>
      <c r="P932" t="s">
        <v>668</v>
      </c>
      <c r="Q932" t="s">
        <v>51</v>
      </c>
      <c r="R932" t="s">
        <v>51</v>
      </c>
      <c r="S932" t="s">
        <v>51</v>
      </c>
      <c r="T932" t="s">
        <v>51</v>
      </c>
    </row>
    <row r="933" spans="1:20">
      <c r="A933" t="s">
        <v>616</v>
      </c>
      <c r="B933" t="s">
        <v>85</v>
      </c>
      <c r="C933" t="s">
        <v>49</v>
      </c>
      <c r="D933" t="s">
        <v>51</v>
      </c>
      <c r="E933" t="s">
        <v>51</v>
      </c>
      <c r="F933" t="s">
        <v>51</v>
      </c>
      <c r="G933" t="s">
        <v>52</v>
      </c>
      <c r="H933" t="s">
        <v>52</v>
      </c>
      <c r="I933" t="s">
        <v>52</v>
      </c>
      <c r="J933" t="s">
        <v>590</v>
      </c>
      <c r="K933" t="s">
        <v>52</v>
      </c>
      <c r="L933" t="s">
        <v>667</v>
      </c>
      <c r="M933" t="s">
        <v>654</v>
      </c>
      <c r="N933" t="s">
        <v>163</v>
      </c>
      <c r="O933" t="s">
        <v>668</v>
      </c>
      <c r="P933" t="s">
        <v>668</v>
      </c>
      <c r="Q933" t="s">
        <v>51</v>
      </c>
      <c r="R933" t="s">
        <v>51</v>
      </c>
      <c r="S933" t="s">
        <v>51</v>
      </c>
      <c r="T933" t="s">
        <v>51</v>
      </c>
    </row>
    <row r="934" spans="1:20">
      <c r="A934" t="s">
        <v>617</v>
      </c>
      <c r="B934" t="s">
        <v>87</v>
      </c>
      <c r="C934" t="s">
        <v>49</v>
      </c>
      <c r="D934" t="s">
        <v>51</v>
      </c>
      <c r="E934" t="s">
        <v>51</v>
      </c>
      <c r="F934" t="s">
        <v>51</v>
      </c>
      <c r="G934" t="s">
        <v>52</v>
      </c>
      <c r="H934" t="s">
        <v>52</v>
      </c>
      <c r="I934" t="s">
        <v>52</v>
      </c>
      <c r="J934" t="s">
        <v>590</v>
      </c>
      <c r="K934" t="s">
        <v>52</v>
      </c>
      <c r="L934" t="s">
        <v>667</v>
      </c>
      <c r="M934" t="s">
        <v>654</v>
      </c>
      <c r="N934" t="s">
        <v>163</v>
      </c>
      <c r="O934" t="s">
        <v>668</v>
      </c>
      <c r="P934" t="s">
        <v>668</v>
      </c>
      <c r="Q934" t="s">
        <v>51</v>
      </c>
      <c r="R934" t="s">
        <v>51</v>
      </c>
      <c r="S934" t="s">
        <v>51</v>
      </c>
      <c r="T934" t="s">
        <v>51</v>
      </c>
    </row>
    <row r="935" spans="1:20">
      <c r="A935" t="s">
        <v>618</v>
      </c>
      <c r="B935" t="s">
        <v>89</v>
      </c>
      <c r="C935" t="s">
        <v>49</v>
      </c>
      <c r="D935" t="s">
        <v>51</v>
      </c>
      <c r="E935" t="s">
        <v>51</v>
      </c>
      <c r="F935" t="s">
        <v>51</v>
      </c>
      <c r="G935" t="s">
        <v>52</v>
      </c>
      <c r="H935" t="s">
        <v>52</v>
      </c>
      <c r="I935" t="s">
        <v>52</v>
      </c>
      <c r="J935" t="s">
        <v>590</v>
      </c>
      <c r="K935" t="s">
        <v>52</v>
      </c>
      <c r="L935" t="s">
        <v>667</v>
      </c>
      <c r="M935" t="s">
        <v>654</v>
      </c>
      <c r="N935" t="s">
        <v>163</v>
      </c>
      <c r="O935" t="s">
        <v>668</v>
      </c>
      <c r="P935" t="s">
        <v>668</v>
      </c>
      <c r="Q935" t="s">
        <v>51</v>
      </c>
      <c r="R935" t="s">
        <v>51</v>
      </c>
      <c r="S935" t="s">
        <v>51</v>
      </c>
      <c r="T935" t="s">
        <v>51</v>
      </c>
    </row>
    <row r="936" spans="1:20">
      <c r="A936" t="s">
        <v>619</v>
      </c>
      <c r="B936" t="s">
        <v>91</v>
      </c>
      <c r="C936" t="s">
        <v>49</v>
      </c>
      <c r="D936" t="s">
        <v>51</v>
      </c>
      <c r="E936" t="s">
        <v>51</v>
      </c>
      <c r="F936" t="s">
        <v>51</v>
      </c>
      <c r="G936" t="s">
        <v>52</v>
      </c>
      <c r="H936" t="s">
        <v>52</v>
      </c>
      <c r="I936" t="s">
        <v>52</v>
      </c>
      <c r="J936" t="s">
        <v>590</v>
      </c>
      <c r="K936" t="s">
        <v>52</v>
      </c>
      <c r="L936" t="s">
        <v>667</v>
      </c>
      <c r="M936" t="s">
        <v>654</v>
      </c>
      <c r="N936" t="s">
        <v>163</v>
      </c>
      <c r="O936" t="s">
        <v>668</v>
      </c>
      <c r="P936" t="s">
        <v>668</v>
      </c>
      <c r="Q936" t="s">
        <v>51</v>
      </c>
      <c r="R936" t="s">
        <v>51</v>
      </c>
      <c r="S936" t="s">
        <v>51</v>
      </c>
      <c r="T936" t="s">
        <v>51</v>
      </c>
    </row>
    <row r="937" spans="1:20">
      <c r="A937" t="s">
        <v>620</v>
      </c>
      <c r="B937" t="s">
        <v>93</v>
      </c>
      <c r="C937" t="s">
        <v>49</v>
      </c>
      <c r="D937" t="s">
        <v>51</v>
      </c>
      <c r="E937" t="s">
        <v>51</v>
      </c>
      <c r="F937" t="s">
        <v>51</v>
      </c>
      <c r="G937" t="s">
        <v>52</v>
      </c>
      <c r="H937" t="s">
        <v>52</v>
      </c>
      <c r="I937" t="s">
        <v>52</v>
      </c>
      <c r="J937" t="s">
        <v>590</v>
      </c>
      <c r="K937" t="s">
        <v>52</v>
      </c>
      <c r="L937" t="s">
        <v>667</v>
      </c>
      <c r="M937" t="s">
        <v>654</v>
      </c>
      <c r="N937" t="s">
        <v>163</v>
      </c>
      <c r="O937" t="s">
        <v>668</v>
      </c>
      <c r="P937" t="s">
        <v>668</v>
      </c>
      <c r="Q937" t="s">
        <v>51</v>
      </c>
      <c r="R937" t="s">
        <v>51</v>
      </c>
      <c r="S937" t="s">
        <v>51</v>
      </c>
      <c r="T937" t="s">
        <v>51</v>
      </c>
    </row>
    <row r="938" spans="1:20">
      <c r="A938" t="s">
        <v>621</v>
      </c>
      <c r="B938" t="s">
        <v>95</v>
      </c>
      <c r="C938" t="s">
        <v>49</v>
      </c>
      <c r="D938" t="s">
        <v>51</v>
      </c>
      <c r="E938" t="s">
        <v>51</v>
      </c>
      <c r="F938" t="s">
        <v>51</v>
      </c>
      <c r="G938" t="s">
        <v>52</v>
      </c>
      <c r="H938" t="s">
        <v>52</v>
      </c>
      <c r="I938" t="s">
        <v>52</v>
      </c>
      <c r="J938" t="s">
        <v>590</v>
      </c>
      <c r="K938" t="s">
        <v>52</v>
      </c>
      <c r="L938" t="s">
        <v>667</v>
      </c>
      <c r="M938" t="s">
        <v>654</v>
      </c>
      <c r="N938" t="s">
        <v>163</v>
      </c>
      <c r="O938" t="s">
        <v>668</v>
      </c>
      <c r="P938" t="s">
        <v>668</v>
      </c>
      <c r="Q938" t="s">
        <v>51</v>
      </c>
      <c r="R938" t="s">
        <v>51</v>
      </c>
      <c r="S938" t="s">
        <v>51</v>
      </c>
      <c r="T938" t="s">
        <v>51</v>
      </c>
    </row>
    <row r="939" spans="1:20">
      <c r="A939" t="s">
        <v>622</v>
      </c>
      <c r="B939" t="s">
        <v>97</v>
      </c>
      <c r="C939" t="s">
        <v>49</v>
      </c>
      <c r="D939" t="s">
        <v>51</v>
      </c>
      <c r="E939" t="s">
        <v>51</v>
      </c>
      <c r="F939" t="s">
        <v>51</v>
      </c>
      <c r="G939" t="s">
        <v>52</v>
      </c>
      <c r="H939" t="s">
        <v>52</v>
      </c>
      <c r="I939" t="s">
        <v>52</v>
      </c>
      <c r="J939" t="s">
        <v>590</v>
      </c>
      <c r="K939" t="s">
        <v>52</v>
      </c>
      <c r="L939" t="s">
        <v>667</v>
      </c>
      <c r="M939" t="s">
        <v>654</v>
      </c>
      <c r="N939" t="s">
        <v>163</v>
      </c>
      <c r="O939" t="s">
        <v>668</v>
      </c>
      <c r="P939" t="s">
        <v>668</v>
      </c>
      <c r="Q939" t="s">
        <v>51</v>
      </c>
      <c r="R939" t="s">
        <v>51</v>
      </c>
      <c r="S939" t="s">
        <v>51</v>
      </c>
      <c r="T939" t="s">
        <v>51</v>
      </c>
    </row>
    <row r="940" spans="1:20">
      <c r="A940" t="s">
        <v>623</v>
      </c>
      <c r="B940" t="s">
        <v>99</v>
      </c>
      <c r="C940" t="s">
        <v>49</v>
      </c>
      <c r="D940" t="s">
        <v>51</v>
      </c>
      <c r="E940" t="s">
        <v>51</v>
      </c>
      <c r="F940" t="s">
        <v>51</v>
      </c>
      <c r="G940" t="s">
        <v>52</v>
      </c>
      <c r="H940" t="s">
        <v>52</v>
      </c>
      <c r="I940" t="s">
        <v>52</v>
      </c>
      <c r="J940" t="s">
        <v>590</v>
      </c>
      <c r="K940" t="s">
        <v>52</v>
      </c>
      <c r="L940" t="s">
        <v>667</v>
      </c>
      <c r="M940" t="s">
        <v>654</v>
      </c>
      <c r="N940" t="s">
        <v>163</v>
      </c>
      <c r="O940" t="s">
        <v>668</v>
      </c>
      <c r="P940" t="s">
        <v>668</v>
      </c>
      <c r="Q940" t="s">
        <v>51</v>
      </c>
      <c r="R940" t="s">
        <v>51</v>
      </c>
      <c r="S940" t="s">
        <v>51</v>
      </c>
      <c r="T940" t="s">
        <v>51</v>
      </c>
    </row>
    <row r="941" spans="1:20">
      <c r="A941" t="s">
        <v>624</v>
      </c>
      <c r="B941" t="s">
        <v>101</v>
      </c>
      <c r="C941" t="s">
        <v>49</v>
      </c>
      <c r="D941" t="s">
        <v>51</v>
      </c>
      <c r="E941" t="s">
        <v>51</v>
      </c>
      <c r="F941" t="s">
        <v>51</v>
      </c>
      <c r="G941" t="s">
        <v>52</v>
      </c>
      <c r="H941" t="s">
        <v>52</v>
      </c>
      <c r="I941" t="s">
        <v>52</v>
      </c>
      <c r="J941" t="s">
        <v>590</v>
      </c>
      <c r="K941" t="s">
        <v>52</v>
      </c>
      <c r="L941" t="s">
        <v>667</v>
      </c>
      <c r="M941" t="s">
        <v>654</v>
      </c>
      <c r="N941" t="s">
        <v>163</v>
      </c>
      <c r="O941" t="s">
        <v>668</v>
      </c>
      <c r="P941" t="s">
        <v>668</v>
      </c>
      <c r="Q941" t="s">
        <v>51</v>
      </c>
      <c r="R941" t="s">
        <v>51</v>
      </c>
      <c r="S941" t="s">
        <v>51</v>
      </c>
      <c r="T941" t="s">
        <v>51</v>
      </c>
    </row>
    <row r="942" spans="1:20">
      <c r="A942" t="s">
        <v>625</v>
      </c>
      <c r="B942" t="s">
        <v>103</v>
      </c>
      <c r="C942" t="s">
        <v>49</v>
      </c>
      <c r="D942" t="s">
        <v>51</v>
      </c>
      <c r="E942" t="s">
        <v>51</v>
      </c>
      <c r="F942" t="s">
        <v>51</v>
      </c>
      <c r="G942" t="s">
        <v>52</v>
      </c>
      <c r="H942" t="s">
        <v>52</v>
      </c>
      <c r="I942" t="s">
        <v>52</v>
      </c>
      <c r="J942" t="s">
        <v>590</v>
      </c>
      <c r="K942" t="s">
        <v>52</v>
      </c>
      <c r="L942" t="s">
        <v>667</v>
      </c>
      <c r="M942" t="s">
        <v>654</v>
      </c>
      <c r="N942" t="s">
        <v>163</v>
      </c>
      <c r="O942" t="s">
        <v>668</v>
      </c>
      <c r="P942" t="s">
        <v>668</v>
      </c>
      <c r="Q942" t="s">
        <v>51</v>
      </c>
      <c r="R942" t="s">
        <v>51</v>
      </c>
      <c r="S942" t="s">
        <v>51</v>
      </c>
      <c r="T942" t="s">
        <v>51</v>
      </c>
    </row>
    <row r="943" spans="1:20">
      <c r="A943" t="s">
        <v>626</v>
      </c>
      <c r="B943" t="s">
        <v>105</v>
      </c>
      <c r="C943" t="s">
        <v>49</v>
      </c>
      <c r="D943" t="s">
        <v>51</v>
      </c>
      <c r="E943" t="s">
        <v>51</v>
      </c>
      <c r="F943" t="s">
        <v>51</v>
      </c>
      <c r="G943" t="s">
        <v>52</v>
      </c>
      <c r="H943" t="s">
        <v>52</v>
      </c>
      <c r="I943" t="s">
        <v>52</v>
      </c>
      <c r="J943" t="s">
        <v>590</v>
      </c>
      <c r="K943" t="s">
        <v>52</v>
      </c>
      <c r="L943" t="s">
        <v>667</v>
      </c>
      <c r="M943" t="s">
        <v>654</v>
      </c>
      <c r="N943" t="s">
        <v>163</v>
      </c>
      <c r="O943" t="s">
        <v>668</v>
      </c>
      <c r="P943" t="s">
        <v>668</v>
      </c>
      <c r="Q943" t="s">
        <v>51</v>
      </c>
      <c r="R943" t="s">
        <v>51</v>
      </c>
      <c r="S943" t="s">
        <v>51</v>
      </c>
      <c r="T943" t="s">
        <v>51</v>
      </c>
    </row>
    <row r="944" spans="1:20">
      <c r="A944" t="s">
        <v>627</v>
      </c>
      <c r="B944" t="s">
        <v>107</v>
      </c>
      <c r="C944" t="s">
        <v>49</v>
      </c>
      <c r="D944" t="s">
        <v>51</v>
      </c>
      <c r="E944" t="s">
        <v>51</v>
      </c>
      <c r="F944" t="s">
        <v>51</v>
      </c>
      <c r="G944" t="s">
        <v>52</v>
      </c>
      <c r="H944" t="s">
        <v>52</v>
      </c>
      <c r="I944" t="s">
        <v>52</v>
      </c>
      <c r="J944" t="s">
        <v>590</v>
      </c>
      <c r="K944" t="s">
        <v>52</v>
      </c>
      <c r="L944" t="s">
        <v>667</v>
      </c>
      <c r="M944" t="s">
        <v>654</v>
      </c>
      <c r="N944" t="s">
        <v>163</v>
      </c>
      <c r="O944" t="s">
        <v>668</v>
      </c>
      <c r="P944" t="s">
        <v>668</v>
      </c>
      <c r="Q944" t="s">
        <v>51</v>
      </c>
      <c r="R944" t="s">
        <v>51</v>
      </c>
      <c r="S944" t="s">
        <v>51</v>
      </c>
      <c r="T944" t="s">
        <v>51</v>
      </c>
    </row>
    <row r="945" spans="1:20">
      <c r="A945" t="s">
        <v>628</v>
      </c>
      <c r="B945" t="s">
        <v>109</v>
      </c>
      <c r="C945" t="s">
        <v>49</v>
      </c>
      <c r="D945" t="s">
        <v>51</v>
      </c>
      <c r="E945" t="s">
        <v>51</v>
      </c>
      <c r="F945" t="s">
        <v>51</v>
      </c>
      <c r="G945" t="s">
        <v>52</v>
      </c>
      <c r="H945" t="s">
        <v>52</v>
      </c>
      <c r="I945" t="s">
        <v>52</v>
      </c>
      <c r="J945" t="s">
        <v>590</v>
      </c>
      <c r="K945" t="s">
        <v>52</v>
      </c>
      <c r="L945" t="s">
        <v>667</v>
      </c>
      <c r="M945" t="s">
        <v>654</v>
      </c>
      <c r="N945" t="s">
        <v>163</v>
      </c>
      <c r="O945" t="s">
        <v>668</v>
      </c>
      <c r="P945" t="s">
        <v>668</v>
      </c>
      <c r="Q945" t="s">
        <v>51</v>
      </c>
      <c r="R945" t="s">
        <v>51</v>
      </c>
      <c r="S945" t="s">
        <v>51</v>
      </c>
      <c r="T945" t="s">
        <v>51</v>
      </c>
    </row>
    <row r="946" spans="1:20">
      <c r="A946" t="s">
        <v>629</v>
      </c>
      <c r="B946" t="s">
        <v>111</v>
      </c>
      <c r="C946" t="s">
        <v>49</v>
      </c>
      <c r="D946" t="s">
        <v>51</v>
      </c>
      <c r="E946" t="s">
        <v>51</v>
      </c>
      <c r="F946" t="s">
        <v>51</v>
      </c>
      <c r="G946" t="s">
        <v>52</v>
      </c>
      <c r="H946" t="s">
        <v>52</v>
      </c>
      <c r="I946" t="s">
        <v>52</v>
      </c>
      <c r="J946" t="s">
        <v>590</v>
      </c>
      <c r="K946" t="s">
        <v>52</v>
      </c>
      <c r="L946" t="s">
        <v>667</v>
      </c>
      <c r="M946" t="s">
        <v>654</v>
      </c>
      <c r="N946" t="s">
        <v>163</v>
      </c>
      <c r="O946" t="s">
        <v>668</v>
      </c>
      <c r="P946" t="s">
        <v>668</v>
      </c>
      <c r="Q946" t="s">
        <v>51</v>
      </c>
      <c r="R946" t="s">
        <v>51</v>
      </c>
      <c r="S946" t="s">
        <v>51</v>
      </c>
      <c r="T946" t="s">
        <v>51</v>
      </c>
    </row>
    <row r="947" spans="1:20">
      <c r="A947" t="s">
        <v>630</v>
      </c>
      <c r="B947" t="s">
        <v>113</v>
      </c>
      <c r="C947" t="s">
        <v>49</v>
      </c>
      <c r="D947" t="s">
        <v>51</v>
      </c>
      <c r="E947" t="s">
        <v>51</v>
      </c>
      <c r="F947" t="s">
        <v>51</v>
      </c>
      <c r="G947" t="s">
        <v>52</v>
      </c>
      <c r="H947" t="s">
        <v>52</v>
      </c>
      <c r="I947" t="s">
        <v>52</v>
      </c>
      <c r="J947" t="s">
        <v>590</v>
      </c>
      <c r="K947" t="s">
        <v>52</v>
      </c>
      <c r="L947" t="s">
        <v>667</v>
      </c>
      <c r="M947" t="s">
        <v>654</v>
      </c>
      <c r="N947" t="s">
        <v>163</v>
      </c>
      <c r="O947" t="s">
        <v>668</v>
      </c>
      <c r="P947" t="s">
        <v>668</v>
      </c>
      <c r="Q947" t="s">
        <v>51</v>
      </c>
      <c r="R947" t="s">
        <v>51</v>
      </c>
      <c r="S947" t="s">
        <v>51</v>
      </c>
      <c r="T947" t="s">
        <v>51</v>
      </c>
    </row>
    <row r="948" spans="1:20">
      <c r="A948" t="s">
        <v>631</v>
      </c>
      <c r="B948" t="s">
        <v>115</v>
      </c>
      <c r="C948" t="s">
        <v>49</v>
      </c>
      <c r="D948" t="s">
        <v>51</v>
      </c>
      <c r="E948" t="s">
        <v>51</v>
      </c>
      <c r="F948" t="s">
        <v>51</v>
      </c>
      <c r="G948" t="s">
        <v>52</v>
      </c>
      <c r="H948" t="s">
        <v>52</v>
      </c>
      <c r="I948" t="s">
        <v>52</v>
      </c>
      <c r="J948" t="s">
        <v>590</v>
      </c>
      <c r="K948" t="s">
        <v>52</v>
      </c>
      <c r="L948" t="s">
        <v>667</v>
      </c>
      <c r="M948" t="s">
        <v>654</v>
      </c>
      <c r="N948" t="s">
        <v>163</v>
      </c>
      <c r="O948" t="s">
        <v>668</v>
      </c>
      <c r="P948" t="s">
        <v>668</v>
      </c>
      <c r="Q948" t="s">
        <v>51</v>
      </c>
      <c r="R948" t="s">
        <v>51</v>
      </c>
      <c r="S948" t="s">
        <v>51</v>
      </c>
      <c r="T948" t="s">
        <v>51</v>
      </c>
    </row>
    <row r="949" spans="1:20">
      <c r="A949" t="s">
        <v>632</v>
      </c>
      <c r="B949" t="s">
        <v>117</v>
      </c>
      <c r="C949" t="s">
        <v>49</v>
      </c>
      <c r="D949" t="s">
        <v>51</v>
      </c>
      <c r="E949" t="s">
        <v>51</v>
      </c>
      <c r="F949" t="s">
        <v>51</v>
      </c>
      <c r="G949" t="s">
        <v>52</v>
      </c>
      <c r="H949" t="s">
        <v>52</v>
      </c>
      <c r="I949" t="s">
        <v>52</v>
      </c>
      <c r="J949" t="s">
        <v>590</v>
      </c>
      <c r="K949" t="s">
        <v>52</v>
      </c>
      <c r="L949" t="s">
        <v>667</v>
      </c>
      <c r="M949" t="s">
        <v>654</v>
      </c>
      <c r="N949" t="s">
        <v>163</v>
      </c>
      <c r="O949" t="s">
        <v>668</v>
      </c>
      <c r="P949" t="s">
        <v>668</v>
      </c>
      <c r="Q949" t="s">
        <v>51</v>
      </c>
      <c r="R949" t="s">
        <v>51</v>
      </c>
      <c r="S949" t="s">
        <v>51</v>
      </c>
      <c r="T949" t="s">
        <v>51</v>
      </c>
    </row>
    <row r="950" spans="1:20">
      <c r="A950" t="s">
        <v>633</v>
      </c>
      <c r="B950" t="s">
        <v>119</v>
      </c>
      <c r="C950" t="s">
        <v>49</v>
      </c>
      <c r="D950" t="s">
        <v>51</v>
      </c>
      <c r="E950" t="s">
        <v>51</v>
      </c>
      <c r="F950" t="s">
        <v>51</v>
      </c>
      <c r="G950" t="s">
        <v>52</v>
      </c>
      <c r="H950" t="s">
        <v>52</v>
      </c>
      <c r="I950" t="s">
        <v>52</v>
      </c>
      <c r="J950" t="s">
        <v>590</v>
      </c>
      <c r="K950" t="s">
        <v>52</v>
      </c>
      <c r="L950" t="s">
        <v>667</v>
      </c>
      <c r="M950" t="s">
        <v>654</v>
      </c>
      <c r="N950" t="s">
        <v>163</v>
      </c>
      <c r="O950" t="s">
        <v>668</v>
      </c>
      <c r="P950" t="s">
        <v>668</v>
      </c>
      <c r="Q950" t="s">
        <v>51</v>
      </c>
      <c r="R950" t="s">
        <v>51</v>
      </c>
      <c r="S950" t="s">
        <v>51</v>
      </c>
      <c r="T950" t="s">
        <v>51</v>
      </c>
    </row>
    <row r="951" spans="1:20">
      <c r="A951" t="s">
        <v>634</v>
      </c>
      <c r="B951" t="s">
        <v>121</v>
      </c>
      <c r="C951" t="s">
        <v>49</v>
      </c>
      <c r="D951" t="s">
        <v>51</v>
      </c>
      <c r="E951" t="s">
        <v>51</v>
      </c>
      <c r="F951" t="s">
        <v>51</v>
      </c>
      <c r="G951" t="s">
        <v>52</v>
      </c>
      <c r="H951" t="s">
        <v>52</v>
      </c>
      <c r="I951" t="s">
        <v>52</v>
      </c>
      <c r="J951" t="s">
        <v>590</v>
      </c>
      <c r="K951" t="s">
        <v>52</v>
      </c>
      <c r="L951" t="s">
        <v>667</v>
      </c>
      <c r="M951" t="s">
        <v>654</v>
      </c>
      <c r="N951" t="s">
        <v>163</v>
      </c>
      <c r="O951" t="s">
        <v>668</v>
      </c>
      <c r="P951" t="s">
        <v>668</v>
      </c>
      <c r="Q951" t="s">
        <v>51</v>
      </c>
      <c r="R951" t="s">
        <v>51</v>
      </c>
      <c r="S951" t="s">
        <v>51</v>
      </c>
      <c r="T951" t="s">
        <v>51</v>
      </c>
    </row>
    <row r="952" spans="1:20">
      <c r="A952" t="s">
        <v>635</v>
      </c>
      <c r="B952" t="s">
        <v>123</v>
      </c>
      <c r="C952" t="s">
        <v>49</v>
      </c>
      <c r="D952" t="s">
        <v>51</v>
      </c>
      <c r="E952" t="s">
        <v>51</v>
      </c>
      <c r="F952" t="s">
        <v>51</v>
      </c>
      <c r="G952" t="s">
        <v>52</v>
      </c>
      <c r="H952" t="s">
        <v>52</v>
      </c>
      <c r="I952" t="s">
        <v>52</v>
      </c>
      <c r="J952" t="s">
        <v>590</v>
      </c>
      <c r="K952" t="s">
        <v>52</v>
      </c>
      <c r="L952" t="s">
        <v>667</v>
      </c>
      <c r="M952" t="s">
        <v>654</v>
      </c>
      <c r="N952" t="s">
        <v>163</v>
      </c>
      <c r="O952" t="s">
        <v>668</v>
      </c>
      <c r="P952" t="s">
        <v>668</v>
      </c>
      <c r="Q952" t="s">
        <v>51</v>
      </c>
      <c r="R952" t="s">
        <v>51</v>
      </c>
      <c r="S952" t="s">
        <v>51</v>
      </c>
      <c r="T952" t="s">
        <v>51</v>
      </c>
    </row>
    <row r="953" spans="1:20">
      <c r="A953" t="s">
        <v>636</v>
      </c>
      <c r="B953" t="s">
        <v>125</v>
      </c>
      <c r="C953" t="s">
        <v>49</v>
      </c>
      <c r="D953" t="s">
        <v>51</v>
      </c>
      <c r="E953" t="s">
        <v>51</v>
      </c>
      <c r="F953" t="s">
        <v>51</v>
      </c>
      <c r="G953" t="s">
        <v>52</v>
      </c>
      <c r="H953" t="s">
        <v>52</v>
      </c>
      <c r="I953" t="s">
        <v>52</v>
      </c>
      <c r="J953" t="s">
        <v>590</v>
      </c>
      <c r="K953" t="s">
        <v>52</v>
      </c>
      <c r="L953" t="s">
        <v>667</v>
      </c>
      <c r="M953" t="s">
        <v>654</v>
      </c>
      <c r="N953" t="s">
        <v>163</v>
      </c>
      <c r="O953" t="s">
        <v>668</v>
      </c>
      <c r="P953" t="s">
        <v>668</v>
      </c>
      <c r="Q953" t="s">
        <v>51</v>
      </c>
      <c r="R953" t="s">
        <v>51</v>
      </c>
      <c r="S953" t="s">
        <v>51</v>
      </c>
      <c r="T953" t="s">
        <v>51</v>
      </c>
    </row>
    <row r="954" spans="1:20">
      <c r="A954" t="s">
        <v>637</v>
      </c>
      <c r="B954" t="s">
        <v>127</v>
      </c>
      <c r="C954" t="s">
        <v>49</v>
      </c>
      <c r="D954" t="s">
        <v>51</v>
      </c>
      <c r="E954" t="s">
        <v>51</v>
      </c>
      <c r="F954" t="s">
        <v>51</v>
      </c>
      <c r="G954" t="s">
        <v>52</v>
      </c>
      <c r="H954" t="s">
        <v>52</v>
      </c>
      <c r="I954" t="s">
        <v>52</v>
      </c>
      <c r="J954" t="s">
        <v>590</v>
      </c>
      <c r="K954" t="s">
        <v>52</v>
      </c>
      <c r="L954" t="s">
        <v>667</v>
      </c>
      <c r="M954" t="s">
        <v>654</v>
      </c>
      <c r="N954" t="s">
        <v>163</v>
      </c>
      <c r="O954" t="s">
        <v>668</v>
      </c>
      <c r="P954" t="s">
        <v>668</v>
      </c>
      <c r="Q954" t="s">
        <v>51</v>
      </c>
      <c r="R954" t="s">
        <v>51</v>
      </c>
      <c r="S954" t="s">
        <v>51</v>
      </c>
      <c r="T954" t="s">
        <v>51</v>
      </c>
    </row>
    <row r="955" spans="1:20">
      <c r="A955" t="s">
        <v>638</v>
      </c>
      <c r="B955" t="s">
        <v>129</v>
      </c>
      <c r="C955" t="s">
        <v>49</v>
      </c>
      <c r="D955" t="s">
        <v>51</v>
      </c>
      <c r="E955" t="s">
        <v>51</v>
      </c>
      <c r="F955" t="s">
        <v>51</v>
      </c>
      <c r="G955" t="s">
        <v>52</v>
      </c>
      <c r="H955" t="s">
        <v>52</v>
      </c>
      <c r="I955" t="s">
        <v>52</v>
      </c>
      <c r="J955" t="s">
        <v>590</v>
      </c>
      <c r="K955" t="s">
        <v>52</v>
      </c>
      <c r="L955" t="s">
        <v>667</v>
      </c>
      <c r="M955" t="s">
        <v>654</v>
      </c>
      <c r="N955" t="s">
        <v>163</v>
      </c>
      <c r="O955" t="s">
        <v>668</v>
      </c>
      <c r="P955" t="s">
        <v>668</v>
      </c>
      <c r="Q955" t="s">
        <v>51</v>
      </c>
      <c r="R955" t="s">
        <v>51</v>
      </c>
      <c r="S955" t="s">
        <v>51</v>
      </c>
      <c r="T955" t="s">
        <v>51</v>
      </c>
    </row>
    <row r="956" spans="1:20">
      <c r="A956" t="s">
        <v>639</v>
      </c>
      <c r="B956" t="s">
        <v>131</v>
      </c>
      <c r="C956" t="s">
        <v>49</v>
      </c>
      <c r="D956" t="s">
        <v>51</v>
      </c>
      <c r="E956" t="s">
        <v>51</v>
      </c>
      <c r="F956" t="s">
        <v>51</v>
      </c>
      <c r="G956" t="s">
        <v>52</v>
      </c>
      <c r="H956" t="s">
        <v>52</v>
      </c>
      <c r="I956" t="s">
        <v>52</v>
      </c>
      <c r="J956" t="s">
        <v>590</v>
      </c>
      <c r="K956" t="s">
        <v>52</v>
      </c>
      <c r="L956" t="s">
        <v>667</v>
      </c>
      <c r="M956" t="s">
        <v>654</v>
      </c>
      <c r="N956" t="s">
        <v>163</v>
      </c>
      <c r="O956" t="s">
        <v>668</v>
      </c>
      <c r="P956" t="s">
        <v>668</v>
      </c>
      <c r="Q956" t="s">
        <v>51</v>
      </c>
      <c r="R956" t="s">
        <v>51</v>
      </c>
      <c r="S956" t="s">
        <v>51</v>
      </c>
      <c r="T956" t="s">
        <v>51</v>
      </c>
    </row>
    <row r="957" spans="1:20">
      <c r="A957" t="s">
        <v>640</v>
      </c>
      <c r="B957" t="s">
        <v>133</v>
      </c>
      <c r="C957" t="s">
        <v>49</v>
      </c>
      <c r="D957" t="s">
        <v>51</v>
      </c>
      <c r="E957" t="s">
        <v>51</v>
      </c>
      <c r="F957" t="s">
        <v>51</v>
      </c>
      <c r="G957" t="s">
        <v>52</v>
      </c>
      <c r="H957" t="s">
        <v>52</v>
      </c>
      <c r="I957" t="s">
        <v>52</v>
      </c>
      <c r="J957" t="s">
        <v>590</v>
      </c>
      <c r="K957" t="s">
        <v>52</v>
      </c>
      <c r="L957" t="s">
        <v>667</v>
      </c>
      <c r="M957" t="s">
        <v>654</v>
      </c>
      <c r="N957" t="s">
        <v>163</v>
      </c>
      <c r="O957" t="s">
        <v>668</v>
      </c>
      <c r="P957" t="s">
        <v>668</v>
      </c>
      <c r="Q957" t="s">
        <v>51</v>
      </c>
      <c r="R957" t="s">
        <v>51</v>
      </c>
      <c r="S957" t="s">
        <v>51</v>
      </c>
      <c r="T957" t="s">
        <v>51</v>
      </c>
    </row>
    <row r="958" spans="1:20">
      <c r="A958" t="s">
        <v>641</v>
      </c>
      <c r="B958" t="s">
        <v>135</v>
      </c>
      <c r="C958" t="s">
        <v>49</v>
      </c>
      <c r="D958" t="s">
        <v>51</v>
      </c>
      <c r="E958" t="s">
        <v>51</v>
      </c>
      <c r="F958" t="s">
        <v>51</v>
      </c>
      <c r="G958" t="s">
        <v>52</v>
      </c>
      <c r="H958" t="s">
        <v>52</v>
      </c>
      <c r="I958" t="s">
        <v>52</v>
      </c>
      <c r="J958" t="s">
        <v>590</v>
      </c>
      <c r="K958" t="s">
        <v>52</v>
      </c>
      <c r="L958" t="s">
        <v>667</v>
      </c>
      <c r="M958" t="s">
        <v>654</v>
      </c>
      <c r="N958" t="s">
        <v>163</v>
      </c>
      <c r="O958" t="s">
        <v>668</v>
      </c>
      <c r="P958" t="s">
        <v>668</v>
      </c>
      <c r="Q958" t="s">
        <v>51</v>
      </c>
      <c r="R958" t="s">
        <v>51</v>
      </c>
      <c r="S958" t="s">
        <v>51</v>
      </c>
      <c r="T958" t="s">
        <v>51</v>
      </c>
    </row>
    <row r="959" spans="1:20">
      <c r="A959" t="s">
        <v>642</v>
      </c>
      <c r="B959" t="s">
        <v>137</v>
      </c>
      <c r="C959" t="s">
        <v>49</v>
      </c>
      <c r="D959" t="s">
        <v>51</v>
      </c>
      <c r="E959" t="s">
        <v>51</v>
      </c>
      <c r="F959" t="s">
        <v>51</v>
      </c>
      <c r="G959" t="s">
        <v>52</v>
      </c>
      <c r="H959" t="s">
        <v>52</v>
      </c>
      <c r="I959" t="s">
        <v>52</v>
      </c>
      <c r="J959" t="s">
        <v>590</v>
      </c>
      <c r="K959" t="s">
        <v>52</v>
      </c>
      <c r="L959" t="s">
        <v>667</v>
      </c>
      <c r="M959" t="s">
        <v>654</v>
      </c>
      <c r="N959" t="s">
        <v>163</v>
      </c>
      <c r="O959" t="s">
        <v>668</v>
      </c>
      <c r="P959" t="s">
        <v>668</v>
      </c>
      <c r="Q959" t="s">
        <v>51</v>
      </c>
      <c r="R959" t="s">
        <v>51</v>
      </c>
      <c r="S959" t="s">
        <v>51</v>
      </c>
      <c r="T959" t="s">
        <v>51</v>
      </c>
    </row>
    <row r="960" spans="1:20">
      <c r="A960" t="s">
        <v>643</v>
      </c>
      <c r="B960" t="s">
        <v>139</v>
      </c>
      <c r="C960" t="s">
        <v>49</v>
      </c>
      <c r="D960" t="s">
        <v>51</v>
      </c>
      <c r="E960" t="s">
        <v>51</v>
      </c>
      <c r="F960" t="s">
        <v>51</v>
      </c>
      <c r="G960" t="s">
        <v>52</v>
      </c>
      <c r="H960" t="s">
        <v>52</v>
      </c>
      <c r="I960" t="s">
        <v>52</v>
      </c>
      <c r="J960" t="s">
        <v>590</v>
      </c>
      <c r="K960" t="s">
        <v>52</v>
      </c>
      <c r="L960" t="s">
        <v>667</v>
      </c>
      <c r="M960" t="s">
        <v>654</v>
      </c>
      <c r="N960" t="s">
        <v>163</v>
      </c>
      <c r="O960" t="s">
        <v>668</v>
      </c>
      <c r="P960" t="s">
        <v>668</v>
      </c>
      <c r="Q960" t="s">
        <v>51</v>
      </c>
      <c r="R960" t="s">
        <v>51</v>
      </c>
      <c r="S960" t="s">
        <v>51</v>
      </c>
      <c r="T960" t="s">
        <v>51</v>
      </c>
    </row>
    <row r="961" spans="1:20">
      <c r="A961" t="s">
        <v>644</v>
      </c>
      <c r="B961" t="s">
        <v>141</v>
      </c>
      <c r="C961" t="s">
        <v>49</v>
      </c>
      <c r="D961" t="s">
        <v>51</v>
      </c>
      <c r="E961" t="s">
        <v>51</v>
      </c>
      <c r="F961" t="s">
        <v>51</v>
      </c>
      <c r="G961" t="s">
        <v>52</v>
      </c>
      <c r="H961" t="s">
        <v>52</v>
      </c>
      <c r="I961" t="s">
        <v>52</v>
      </c>
      <c r="J961" t="s">
        <v>590</v>
      </c>
      <c r="K961" t="s">
        <v>52</v>
      </c>
      <c r="L961" t="s">
        <v>667</v>
      </c>
      <c r="M961" t="s">
        <v>654</v>
      </c>
      <c r="N961" t="s">
        <v>163</v>
      </c>
      <c r="O961" t="s">
        <v>668</v>
      </c>
      <c r="P961" t="s">
        <v>668</v>
      </c>
      <c r="Q961" t="s">
        <v>51</v>
      </c>
      <c r="R961" t="s">
        <v>51</v>
      </c>
      <c r="S961" t="s">
        <v>51</v>
      </c>
      <c r="T961" t="s">
        <v>51</v>
      </c>
    </row>
    <row r="962" spans="1:20">
      <c r="A962" t="s">
        <v>645</v>
      </c>
      <c r="B962" t="s">
        <v>143</v>
      </c>
      <c r="C962" t="s">
        <v>49</v>
      </c>
      <c r="D962" t="s">
        <v>51</v>
      </c>
      <c r="E962" t="s">
        <v>51</v>
      </c>
      <c r="F962" t="s">
        <v>51</v>
      </c>
      <c r="G962" t="s">
        <v>52</v>
      </c>
      <c r="H962" t="s">
        <v>52</v>
      </c>
      <c r="I962" t="s">
        <v>52</v>
      </c>
      <c r="J962" t="s">
        <v>590</v>
      </c>
      <c r="K962" t="s">
        <v>52</v>
      </c>
      <c r="L962" t="s">
        <v>667</v>
      </c>
      <c r="M962" t="s">
        <v>654</v>
      </c>
      <c r="N962" t="s">
        <v>163</v>
      </c>
      <c r="O962" t="s">
        <v>668</v>
      </c>
      <c r="P962" t="s">
        <v>668</v>
      </c>
      <c r="Q962" t="s">
        <v>51</v>
      </c>
      <c r="R962" t="s">
        <v>51</v>
      </c>
      <c r="S962" t="s">
        <v>51</v>
      </c>
      <c r="T962" t="s">
        <v>51</v>
      </c>
    </row>
    <row r="963" spans="1:20">
      <c r="A963" t="s">
        <v>646</v>
      </c>
      <c r="B963" t="s">
        <v>145</v>
      </c>
      <c r="C963" t="s">
        <v>49</v>
      </c>
      <c r="D963" t="s">
        <v>51</v>
      </c>
      <c r="E963" t="s">
        <v>51</v>
      </c>
      <c r="F963" t="s">
        <v>51</v>
      </c>
      <c r="G963" t="s">
        <v>52</v>
      </c>
      <c r="H963" t="s">
        <v>52</v>
      </c>
      <c r="I963" t="s">
        <v>52</v>
      </c>
      <c r="J963" t="s">
        <v>590</v>
      </c>
      <c r="K963" t="s">
        <v>52</v>
      </c>
      <c r="L963" t="s">
        <v>667</v>
      </c>
      <c r="M963" t="s">
        <v>654</v>
      </c>
      <c r="N963" t="s">
        <v>163</v>
      </c>
      <c r="O963" t="s">
        <v>668</v>
      </c>
      <c r="P963" t="s">
        <v>668</v>
      </c>
      <c r="Q963" t="s">
        <v>51</v>
      </c>
      <c r="R963" t="s">
        <v>51</v>
      </c>
      <c r="S963" t="s">
        <v>51</v>
      </c>
      <c r="T963" t="s">
        <v>51</v>
      </c>
    </row>
    <row r="964" spans="1:20">
      <c r="A964" t="s">
        <v>647</v>
      </c>
      <c r="B964" t="s">
        <v>147</v>
      </c>
      <c r="C964" t="s">
        <v>49</v>
      </c>
      <c r="D964" t="s">
        <v>51</v>
      </c>
      <c r="E964" t="s">
        <v>51</v>
      </c>
      <c r="F964" t="s">
        <v>51</v>
      </c>
      <c r="G964" t="s">
        <v>52</v>
      </c>
      <c r="H964" t="s">
        <v>52</v>
      </c>
      <c r="I964" t="s">
        <v>52</v>
      </c>
      <c r="J964" t="s">
        <v>590</v>
      </c>
      <c r="K964" t="s">
        <v>52</v>
      </c>
      <c r="L964" t="s">
        <v>667</v>
      </c>
      <c r="M964" t="s">
        <v>654</v>
      </c>
      <c r="N964" t="s">
        <v>163</v>
      </c>
      <c r="O964" t="s">
        <v>668</v>
      </c>
      <c r="P964" t="s">
        <v>668</v>
      </c>
      <c r="Q964" t="s">
        <v>51</v>
      </c>
      <c r="R964" t="s">
        <v>51</v>
      </c>
      <c r="S964" t="s">
        <v>51</v>
      </c>
      <c r="T964" t="s">
        <v>51</v>
      </c>
    </row>
    <row r="965" spans="1:20">
      <c r="A965" t="s">
        <v>648</v>
      </c>
      <c r="B965" t="s">
        <v>149</v>
      </c>
      <c r="C965" t="s">
        <v>49</v>
      </c>
      <c r="D965" t="s">
        <v>51</v>
      </c>
      <c r="E965" t="s">
        <v>51</v>
      </c>
      <c r="F965" t="s">
        <v>51</v>
      </c>
      <c r="G965" t="s">
        <v>52</v>
      </c>
      <c r="H965" t="s">
        <v>52</v>
      </c>
      <c r="I965" t="s">
        <v>52</v>
      </c>
      <c r="J965" t="s">
        <v>590</v>
      </c>
      <c r="K965" t="s">
        <v>52</v>
      </c>
      <c r="L965" t="s">
        <v>667</v>
      </c>
      <c r="M965" t="s">
        <v>654</v>
      </c>
      <c r="N965" t="s">
        <v>163</v>
      </c>
      <c r="O965" t="s">
        <v>668</v>
      </c>
      <c r="P965" t="s">
        <v>668</v>
      </c>
      <c r="Q965" t="s">
        <v>51</v>
      </c>
      <c r="R965" t="s">
        <v>51</v>
      </c>
      <c r="S965" t="s">
        <v>51</v>
      </c>
      <c r="T965" t="s">
        <v>51</v>
      </c>
    </row>
    <row r="966" spans="1:20">
      <c r="A966" t="s">
        <v>649</v>
      </c>
      <c r="B966" t="s">
        <v>151</v>
      </c>
      <c r="C966" t="s">
        <v>49</v>
      </c>
      <c r="D966" t="s">
        <v>51</v>
      </c>
      <c r="E966" t="s">
        <v>51</v>
      </c>
      <c r="F966" t="s">
        <v>51</v>
      </c>
      <c r="G966" t="s">
        <v>52</v>
      </c>
      <c r="H966" t="s">
        <v>52</v>
      </c>
      <c r="I966" t="s">
        <v>52</v>
      </c>
      <c r="J966" t="s">
        <v>590</v>
      </c>
      <c r="K966" t="s">
        <v>52</v>
      </c>
      <c r="L966" t="s">
        <v>667</v>
      </c>
      <c r="M966" t="s">
        <v>654</v>
      </c>
      <c r="N966" t="s">
        <v>163</v>
      </c>
      <c r="O966" t="s">
        <v>668</v>
      </c>
      <c r="P966" t="s">
        <v>668</v>
      </c>
      <c r="Q966" t="s">
        <v>51</v>
      </c>
      <c r="R966" t="s">
        <v>51</v>
      </c>
      <c r="S966" t="s">
        <v>51</v>
      </c>
      <c r="T966" t="s">
        <v>51</v>
      </c>
    </row>
    <row r="967" spans="1:20">
      <c r="A967" t="s">
        <v>650</v>
      </c>
      <c r="B967" t="s">
        <v>153</v>
      </c>
      <c r="C967" t="s">
        <v>49</v>
      </c>
      <c r="D967" t="s">
        <v>51</v>
      </c>
      <c r="E967" t="s">
        <v>51</v>
      </c>
      <c r="F967" t="s">
        <v>51</v>
      </c>
      <c r="G967" t="s">
        <v>52</v>
      </c>
      <c r="H967" t="s">
        <v>52</v>
      </c>
      <c r="I967" t="s">
        <v>52</v>
      </c>
      <c r="J967" t="s">
        <v>590</v>
      </c>
      <c r="K967" t="s">
        <v>52</v>
      </c>
      <c r="L967" t="s">
        <v>667</v>
      </c>
      <c r="M967" t="s">
        <v>654</v>
      </c>
      <c r="N967" t="s">
        <v>163</v>
      </c>
      <c r="O967" t="s">
        <v>668</v>
      </c>
      <c r="P967" t="s">
        <v>668</v>
      </c>
      <c r="Q967" t="s">
        <v>51</v>
      </c>
      <c r="R967" t="s">
        <v>51</v>
      </c>
      <c r="S967" t="s">
        <v>51</v>
      </c>
      <c r="T967" t="s">
        <v>51</v>
      </c>
    </row>
    <row r="968" spans="1:20">
      <c r="A968" t="s">
        <v>588</v>
      </c>
      <c r="B968" t="s">
        <v>589</v>
      </c>
      <c r="C968" t="s">
        <v>165</v>
      </c>
      <c r="D968" t="s">
        <v>50</v>
      </c>
      <c r="E968" t="s">
        <v>51</v>
      </c>
      <c r="F968" t="s">
        <v>51</v>
      </c>
      <c r="G968" t="s">
        <v>52</v>
      </c>
      <c r="H968" t="s">
        <v>52</v>
      </c>
      <c r="I968" t="s">
        <v>52</v>
      </c>
      <c r="J968" t="s">
        <v>52</v>
      </c>
      <c r="K968" t="s">
        <v>52</v>
      </c>
      <c r="L968" t="s">
        <v>669</v>
      </c>
      <c r="M968" t="s">
        <v>654</v>
      </c>
      <c r="N968" t="s">
        <v>163</v>
      </c>
      <c r="O968" t="s">
        <v>670</v>
      </c>
      <c r="P968" t="s">
        <v>670</v>
      </c>
      <c r="Q968" t="s">
        <v>51</v>
      </c>
      <c r="R968" t="s">
        <v>51</v>
      </c>
      <c r="S968" t="s">
        <v>51</v>
      </c>
      <c r="T968" t="s">
        <v>51</v>
      </c>
    </row>
    <row r="969" spans="1:20">
      <c r="A969" t="s">
        <v>615</v>
      </c>
      <c r="B969" t="s">
        <v>83</v>
      </c>
      <c r="C969" t="s">
        <v>49</v>
      </c>
      <c r="D969" t="s">
        <v>51</v>
      </c>
      <c r="E969" t="s">
        <v>51</v>
      </c>
      <c r="F969" t="s">
        <v>51</v>
      </c>
      <c r="G969" t="s">
        <v>52</v>
      </c>
      <c r="H969" t="s">
        <v>52</v>
      </c>
      <c r="I969" t="s">
        <v>52</v>
      </c>
      <c r="J969" t="s">
        <v>590</v>
      </c>
      <c r="K969" t="s">
        <v>52</v>
      </c>
      <c r="L969" t="s">
        <v>669</v>
      </c>
      <c r="M969" t="s">
        <v>654</v>
      </c>
      <c r="N969" t="s">
        <v>163</v>
      </c>
      <c r="O969" t="s">
        <v>670</v>
      </c>
      <c r="P969" t="s">
        <v>670</v>
      </c>
      <c r="Q969" t="s">
        <v>51</v>
      </c>
      <c r="R969" t="s">
        <v>51</v>
      </c>
      <c r="S969" t="s">
        <v>51</v>
      </c>
      <c r="T969" t="s">
        <v>51</v>
      </c>
    </row>
    <row r="970" spans="1:20">
      <c r="A970" t="s">
        <v>616</v>
      </c>
      <c r="B970" t="s">
        <v>85</v>
      </c>
      <c r="C970" t="s">
        <v>49</v>
      </c>
      <c r="D970" t="s">
        <v>51</v>
      </c>
      <c r="E970" t="s">
        <v>51</v>
      </c>
      <c r="F970" t="s">
        <v>51</v>
      </c>
      <c r="G970" t="s">
        <v>52</v>
      </c>
      <c r="H970" t="s">
        <v>52</v>
      </c>
      <c r="I970" t="s">
        <v>52</v>
      </c>
      <c r="J970" t="s">
        <v>590</v>
      </c>
      <c r="K970" t="s">
        <v>52</v>
      </c>
      <c r="L970" t="s">
        <v>669</v>
      </c>
      <c r="M970" t="s">
        <v>654</v>
      </c>
      <c r="N970" t="s">
        <v>163</v>
      </c>
      <c r="O970" t="s">
        <v>670</v>
      </c>
      <c r="P970" t="s">
        <v>670</v>
      </c>
      <c r="Q970" t="s">
        <v>51</v>
      </c>
      <c r="R970" t="s">
        <v>51</v>
      </c>
      <c r="S970" t="s">
        <v>51</v>
      </c>
      <c r="T970" t="s">
        <v>51</v>
      </c>
    </row>
    <row r="971" spans="1:20">
      <c r="A971" t="s">
        <v>617</v>
      </c>
      <c r="B971" t="s">
        <v>87</v>
      </c>
      <c r="C971" t="s">
        <v>49</v>
      </c>
      <c r="D971" t="s">
        <v>51</v>
      </c>
      <c r="E971" t="s">
        <v>51</v>
      </c>
      <c r="F971" t="s">
        <v>51</v>
      </c>
      <c r="G971" t="s">
        <v>52</v>
      </c>
      <c r="H971" t="s">
        <v>52</v>
      </c>
      <c r="I971" t="s">
        <v>52</v>
      </c>
      <c r="J971" t="s">
        <v>590</v>
      </c>
      <c r="K971" t="s">
        <v>52</v>
      </c>
      <c r="L971" t="s">
        <v>669</v>
      </c>
      <c r="M971" t="s">
        <v>654</v>
      </c>
      <c r="N971" t="s">
        <v>163</v>
      </c>
      <c r="O971" t="s">
        <v>670</v>
      </c>
      <c r="P971" t="s">
        <v>670</v>
      </c>
      <c r="Q971" t="s">
        <v>51</v>
      </c>
      <c r="R971" t="s">
        <v>51</v>
      </c>
      <c r="S971" t="s">
        <v>51</v>
      </c>
      <c r="T971" t="s">
        <v>51</v>
      </c>
    </row>
    <row r="972" spans="1:20">
      <c r="A972" t="s">
        <v>618</v>
      </c>
      <c r="B972" t="s">
        <v>89</v>
      </c>
      <c r="C972" t="s">
        <v>49</v>
      </c>
      <c r="D972" t="s">
        <v>51</v>
      </c>
      <c r="E972" t="s">
        <v>51</v>
      </c>
      <c r="F972" t="s">
        <v>51</v>
      </c>
      <c r="G972" t="s">
        <v>52</v>
      </c>
      <c r="H972" t="s">
        <v>52</v>
      </c>
      <c r="I972" t="s">
        <v>52</v>
      </c>
      <c r="J972" t="s">
        <v>590</v>
      </c>
      <c r="K972" t="s">
        <v>52</v>
      </c>
      <c r="L972" t="s">
        <v>669</v>
      </c>
      <c r="M972" t="s">
        <v>654</v>
      </c>
      <c r="N972" t="s">
        <v>163</v>
      </c>
      <c r="O972" t="s">
        <v>670</v>
      </c>
      <c r="P972" t="s">
        <v>670</v>
      </c>
      <c r="Q972" t="s">
        <v>51</v>
      </c>
      <c r="R972" t="s">
        <v>51</v>
      </c>
      <c r="S972" t="s">
        <v>51</v>
      </c>
      <c r="T972" t="s">
        <v>51</v>
      </c>
    </row>
    <row r="973" spans="1:20">
      <c r="A973" t="s">
        <v>619</v>
      </c>
      <c r="B973" t="s">
        <v>91</v>
      </c>
      <c r="C973" t="s">
        <v>49</v>
      </c>
      <c r="D973" t="s">
        <v>51</v>
      </c>
      <c r="E973" t="s">
        <v>51</v>
      </c>
      <c r="F973" t="s">
        <v>51</v>
      </c>
      <c r="G973" t="s">
        <v>52</v>
      </c>
      <c r="H973" t="s">
        <v>52</v>
      </c>
      <c r="I973" t="s">
        <v>52</v>
      </c>
      <c r="J973" t="s">
        <v>590</v>
      </c>
      <c r="K973" t="s">
        <v>52</v>
      </c>
      <c r="L973" t="s">
        <v>669</v>
      </c>
      <c r="M973" t="s">
        <v>654</v>
      </c>
      <c r="N973" t="s">
        <v>163</v>
      </c>
      <c r="O973" t="s">
        <v>670</v>
      </c>
      <c r="P973" t="s">
        <v>670</v>
      </c>
      <c r="Q973" t="s">
        <v>51</v>
      </c>
      <c r="R973" t="s">
        <v>51</v>
      </c>
      <c r="S973" t="s">
        <v>51</v>
      </c>
      <c r="T973" t="s">
        <v>51</v>
      </c>
    </row>
    <row r="974" spans="1:20">
      <c r="A974" t="s">
        <v>620</v>
      </c>
      <c r="B974" t="s">
        <v>93</v>
      </c>
      <c r="C974" t="s">
        <v>49</v>
      </c>
      <c r="D974" t="s">
        <v>51</v>
      </c>
      <c r="E974" t="s">
        <v>51</v>
      </c>
      <c r="F974" t="s">
        <v>51</v>
      </c>
      <c r="G974" t="s">
        <v>52</v>
      </c>
      <c r="H974" t="s">
        <v>52</v>
      </c>
      <c r="I974" t="s">
        <v>52</v>
      </c>
      <c r="J974" t="s">
        <v>590</v>
      </c>
      <c r="K974" t="s">
        <v>52</v>
      </c>
      <c r="L974" t="s">
        <v>669</v>
      </c>
      <c r="M974" t="s">
        <v>654</v>
      </c>
      <c r="N974" t="s">
        <v>163</v>
      </c>
      <c r="O974" t="s">
        <v>670</v>
      </c>
      <c r="P974" t="s">
        <v>670</v>
      </c>
      <c r="Q974" t="s">
        <v>51</v>
      </c>
      <c r="R974" t="s">
        <v>51</v>
      </c>
      <c r="S974" t="s">
        <v>51</v>
      </c>
      <c r="T974" t="s">
        <v>51</v>
      </c>
    </row>
    <row r="975" spans="1:20">
      <c r="A975" t="s">
        <v>621</v>
      </c>
      <c r="B975" t="s">
        <v>95</v>
      </c>
      <c r="C975" t="s">
        <v>49</v>
      </c>
      <c r="D975" t="s">
        <v>51</v>
      </c>
      <c r="E975" t="s">
        <v>51</v>
      </c>
      <c r="F975" t="s">
        <v>51</v>
      </c>
      <c r="G975" t="s">
        <v>52</v>
      </c>
      <c r="H975" t="s">
        <v>52</v>
      </c>
      <c r="I975" t="s">
        <v>52</v>
      </c>
      <c r="J975" t="s">
        <v>590</v>
      </c>
      <c r="K975" t="s">
        <v>52</v>
      </c>
      <c r="L975" t="s">
        <v>669</v>
      </c>
      <c r="M975" t="s">
        <v>654</v>
      </c>
      <c r="N975" t="s">
        <v>163</v>
      </c>
      <c r="O975" t="s">
        <v>670</v>
      </c>
      <c r="P975" t="s">
        <v>670</v>
      </c>
      <c r="Q975" t="s">
        <v>51</v>
      </c>
      <c r="R975" t="s">
        <v>51</v>
      </c>
      <c r="S975" t="s">
        <v>51</v>
      </c>
      <c r="T975" t="s">
        <v>51</v>
      </c>
    </row>
    <row r="976" spans="1:20">
      <c r="A976" t="s">
        <v>622</v>
      </c>
      <c r="B976" t="s">
        <v>97</v>
      </c>
      <c r="C976" t="s">
        <v>49</v>
      </c>
      <c r="D976" t="s">
        <v>51</v>
      </c>
      <c r="E976" t="s">
        <v>51</v>
      </c>
      <c r="F976" t="s">
        <v>51</v>
      </c>
      <c r="G976" t="s">
        <v>52</v>
      </c>
      <c r="H976" t="s">
        <v>52</v>
      </c>
      <c r="I976" t="s">
        <v>52</v>
      </c>
      <c r="J976" t="s">
        <v>590</v>
      </c>
      <c r="K976" t="s">
        <v>52</v>
      </c>
      <c r="L976" t="s">
        <v>669</v>
      </c>
      <c r="M976" t="s">
        <v>654</v>
      </c>
      <c r="N976" t="s">
        <v>163</v>
      </c>
      <c r="O976" t="s">
        <v>670</v>
      </c>
      <c r="P976" t="s">
        <v>670</v>
      </c>
      <c r="Q976" t="s">
        <v>51</v>
      </c>
      <c r="R976" t="s">
        <v>51</v>
      </c>
      <c r="S976" t="s">
        <v>51</v>
      </c>
      <c r="T976" t="s">
        <v>51</v>
      </c>
    </row>
    <row r="977" spans="1:20">
      <c r="A977" t="s">
        <v>623</v>
      </c>
      <c r="B977" t="s">
        <v>99</v>
      </c>
      <c r="C977" t="s">
        <v>49</v>
      </c>
      <c r="D977" t="s">
        <v>51</v>
      </c>
      <c r="E977" t="s">
        <v>51</v>
      </c>
      <c r="F977" t="s">
        <v>51</v>
      </c>
      <c r="G977" t="s">
        <v>52</v>
      </c>
      <c r="H977" t="s">
        <v>52</v>
      </c>
      <c r="I977" t="s">
        <v>52</v>
      </c>
      <c r="J977" t="s">
        <v>590</v>
      </c>
      <c r="K977" t="s">
        <v>52</v>
      </c>
      <c r="L977" t="s">
        <v>669</v>
      </c>
      <c r="M977" t="s">
        <v>654</v>
      </c>
      <c r="N977" t="s">
        <v>163</v>
      </c>
      <c r="O977" t="s">
        <v>670</v>
      </c>
      <c r="P977" t="s">
        <v>670</v>
      </c>
      <c r="Q977" t="s">
        <v>51</v>
      </c>
      <c r="R977" t="s">
        <v>51</v>
      </c>
      <c r="S977" t="s">
        <v>51</v>
      </c>
      <c r="T977" t="s">
        <v>51</v>
      </c>
    </row>
    <row r="978" spans="1:20">
      <c r="A978" t="s">
        <v>624</v>
      </c>
      <c r="B978" t="s">
        <v>101</v>
      </c>
      <c r="C978" t="s">
        <v>49</v>
      </c>
      <c r="D978" t="s">
        <v>51</v>
      </c>
      <c r="E978" t="s">
        <v>51</v>
      </c>
      <c r="F978" t="s">
        <v>51</v>
      </c>
      <c r="G978" t="s">
        <v>52</v>
      </c>
      <c r="H978" t="s">
        <v>52</v>
      </c>
      <c r="I978" t="s">
        <v>52</v>
      </c>
      <c r="J978" t="s">
        <v>590</v>
      </c>
      <c r="K978" t="s">
        <v>52</v>
      </c>
      <c r="L978" t="s">
        <v>669</v>
      </c>
      <c r="M978" t="s">
        <v>654</v>
      </c>
      <c r="N978" t="s">
        <v>163</v>
      </c>
      <c r="O978" t="s">
        <v>670</v>
      </c>
      <c r="P978" t="s">
        <v>670</v>
      </c>
      <c r="Q978" t="s">
        <v>51</v>
      </c>
      <c r="R978" t="s">
        <v>51</v>
      </c>
      <c r="S978" t="s">
        <v>51</v>
      </c>
      <c r="T978" t="s">
        <v>51</v>
      </c>
    </row>
    <row r="979" spans="1:20">
      <c r="A979" t="s">
        <v>625</v>
      </c>
      <c r="B979" t="s">
        <v>103</v>
      </c>
      <c r="C979" t="s">
        <v>49</v>
      </c>
      <c r="D979" t="s">
        <v>51</v>
      </c>
      <c r="E979" t="s">
        <v>51</v>
      </c>
      <c r="F979" t="s">
        <v>51</v>
      </c>
      <c r="G979" t="s">
        <v>52</v>
      </c>
      <c r="H979" t="s">
        <v>52</v>
      </c>
      <c r="I979" t="s">
        <v>52</v>
      </c>
      <c r="J979" t="s">
        <v>590</v>
      </c>
      <c r="K979" t="s">
        <v>52</v>
      </c>
      <c r="L979" t="s">
        <v>669</v>
      </c>
      <c r="M979" t="s">
        <v>654</v>
      </c>
      <c r="N979" t="s">
        <v>163</v>
      </c>
      <c r="O979" t="s">
        <v>670</v>
      </c>
      <c r="P979" t="s">
        <v>670</v>
      </c>
      <c r="Q979" t="s">
        <v>51</v>
      </c>
      <c r="R979" t="s">
        <v>51</v>
      </c>
      <c r="S979" t="s">
        <v>51</v>
      </c>
      <c r="T979" t="s">
        <v>51</v>
      </c>
    </row>
    <row r="980" spans="1:20">
      <c r="A980" t="s">
        <v>626</v>
      </c>
      <c r="B980" t="s">
        <v>105</v>
      </c>
      <c r="C980" t="s">
        <v>49</v>
      </c>
      <c r="D980" t="s">
        <v>51</v>
      </c>
      <c r="E980" t="s">
        <v>51</v>
      </c>
      <c r="F980" t="s">
        <v>51</v>
      </c>
      <c r="G980" t="s">
        <v>52</v>
      </c>
      <c r="H980" t="s">
        <v>52</v>
      </c>
      <c r="I980" t="s">
        <v>52</v>
      </c>
      <c r="J980" t="s">
        <v>590</v>
      </c>
      <c r="K980" t="s">
        <v>52</v>
      </c>
      <c r="L980" t="s">
        <v>669</v>
      </c>
      <c r="M980" t="s">
        <v>654</v>
      </c>
      <c r="N980" t="s">
        <v>163</v>
      </c>
      <c r="O980" t="s">
        <v>670</v>
      </c>
      <c r="P980" t="s">
        <v>670</v>
      </c>
      <c r="Q980" t="s">
        <v>51</v>
      </c>
      <c r="R980" t="s">
        <v>51</v>
      </c>
      <c r="S980" t="s">
        <v>51</v>
      </c>
      <c r="T980" t="s">
        <v>51</v>
      </c>
    </row>
    <row r="981" spans="1:20">
      <c r="A981" t="s">
        <v>627</v>
      </c>
      <c r="B981" t="s">
        <v>107</v>
      </c>
      <c r="C981" t="s">
        <v>49</v>
      </c>
      <c r="D981" t="s">
        <v>51</v>
      </c>
      <c r="E981" t="s">
        <v>51</v>
      </c>
      <c r="F981" t="s">
        <v>51</v>
      </c>
      <c r="G981" t="s">
        <v>52</v>
      </c>
      <c r="H981" t="s">
        <v>52</v>
      </c>
      <c r="I981" t="s">
        <v>52</v>
      </c>
      <c r="J981" t="s">
        <v>590</v>
      </c>
      <c r="K981" t="s">
        <v>52</v>
      </c>
      <c r="L981" t="s">
        <v>669</v>
      </c>
      <c r="M981" t="s">
        <v>654</v>
      </c>
      <c r="N981" t="s">
        <v>163</v>
      </c>
      <c r="O981" t="s">
        <v>670</v>
      </c>
      <c r="P981" t="s">
        <v>670</v>
      </c>
      <c r="Q981" t="s">
        <v>51</v>
      </c>
      <c r="R981" t="s">
        <v>51</v>
      </c>
      <c r="S981" t="s">
        <v>51</v>
      </c>
      <c r="T981" t="s">
        <v>51</v>
      </c>
    </row>
    <row r="982" spans="1:20">
      <c r="A982" t="s">
        <v>628</v>
      </c>
      <c r="B982" t="s">
        <v>109</v>
      </c>
      <c r="C982" t="s">
        <v>49</v>
      </c>
      <c r="D982" t="s">
        <v>51</v>
      </c>
      <c r="E982" t="s">
        <v>51</v>
      </c>
      <c r="F982" t="s">
        <v>51</v>
      </c>
      <c r="G982" t="s">
        <v>52</v>
      </c>
      <c r="H982" t="s">
        <v>52</v>
      </c>
      <c r="I982" t="s">
        <v>52</v>
      </c>
      <c r="J982" t="s">
        <v>590</v>
      </c>
      <c r="K982" t="s">
        <v>52</v>
      </c>
      <c r="L982" t="s">
        <v>669</v>
      </c>
      <c r="M982" t="s">
        <v>654</v>
      </c>
      <c r="N982" t="s">
        <v>163</v>
      </c>
      <c r="O982" t="s">
        <v>670</v>
      </c>
      <c r="P982" t="s">
        <v>670</v>
      </c>
      <c r="Q982" t="s">
        <v>51</v>
      </c>
      <c r="R982" t="s">
        <v>51</v>
      </c>
      <c r="S982" t="s">
        <v>51</v>
      </c>
      <c r="T982" t="s">
        <v>51</v>
      </c>
    </row>
    <row r="983" spans="1:20">
      <c r="A983" t="s">
        <v>629</v>
      </c>
      <c r="B983" t="s">
        <v>111</v>
      </c>
      <c r="C983" t="s">
        <v>49</v>
      </c>
      <c r="D983" t="s">
        <v>51</v>
      </c>
      <c r="E983" t="s">
        <v>51</v>
      </c>
      <c r="F983" t="s">
        <v>51</v>
      </c>
      <c r="G983" t="s">
        <v>52</v>
      </c>
      <c r="H983" t="s">
        <v>52</v>
      </c>
      <c r="I983" t="s">
        <v>52</v>
      </c>
      <c r="J983" t="s">
        <v>590</v>
      </c>
      <c r="K983" t="s">
        <v>52</v>
      </c>
      <c r="L983" t="s">
        <v>669</v>
      </c>
      <c r="M983" t="s">
        <v>654</v>
      </c>
      <c r="N983" t="s">
        <v>163</v>
      </c>
      <c r="O983" t="s">
        <v>670</v>
      </c>
      <c r="P983" t="s">
        <v>670</v>
      </c>
      <c r="Q983" t="s">
        <v>51</v>
      </c>
      <c r="R983" t="s">
        <v>51</v>
      </c>
      <c r="S983" t="s">
        <v>51</v>
      </c>
      <c r="T983" t="s">
        <v>51</v>
      </c>
    </row>
    <row r="984" spans="1:20">
      <c r="A984" t="s">
        <v>630</v>
      </c>
      <c r="B984" t="s">
        <v>113</v>
      </c>
      <c r="C984" t="s">
        <v>49</v>
      </c>
      <c r="D984" t="s">
        <v>51</v>
      </c>
      <c r="E984" t="s">
        <v>51</v>
      </c>
      <c r="F984" t="s">
        <v>51</v>
      </c>
      <c r="G984" t="s">
        <v>52</v>
      </c>
      <c r="H984" t="s">
        <v>52</v>
      </c>
      <c r="I984" t="s">
        <v>52</v>
      </c>
      <c r="J984" t="s">
        <v>590</v>
      </c>
      <c r="K984" t="s">
        <v>52</v>
      </c>
      <c r="L984" t="s">
        <v>669</v>
      </c>
      <c r="M984" t="s">
        <v>654</v>
      </c>
      <c r="N984" t="s">
        <v>163</v>
      </c>
      <c r="O984" t="s">
        <v>670</v>
      </c>
      <c r="P984" t="s">
        <v>670</v>
      </c>
      <c r="Q984" t="s">
        <v>51</v>
      </c>
      <c r="R984" t="s">
        <v>51</v>
      </c>
      <c r="S984" t="s">
        <v>51</v>
      </c>
      <c r="T984" t="s">
        <v>51</v>
      </c>
    </row>
    <row r="985" spans="1:20">
      <c r="A985" t="s">
        <v>631</v>
      </c>
      <c r="B985" t="s">
        <v>115</v>
      </c>
      <c r="C985" t="s">
        <v>49</v>
      </c>
      <c r="D985" t="s">
        <v>51</v>
      </c>
      <c r="E985" t="s">
        <v>51</v>
      </c>
      <c r="F985" t="s">
        <v>51</v>
      </c>
      <c r="G985" t="s">
        <v>52</v>
      </c>
      <c r="H985" t="s">
        <v>52</v>
      </c>
      <c r="I985" t="s">
        <v>52</v>
      </c>
      <c r="J985" t="s">
        <v>590</v>
      </c>
      <c r="K985" t="s">
        <v>52</v>
      </c>
      <c r="L985" t="s">
        <v>669</v>
      </c>
      <c r="M985" t="s">
        <v>654</v>
      </c>
      <c r="N985" t="s">
        <v>163</v>
      </c>
      <c r="O985" t="s">
        <v>670</v>
      </c>
      <c r="P985" t="s">
        <v>670</v>
      </c>
      <c r="Q985" t="s">
        <v>51</v>
      </c>
      <c r="R985" t="s">
        <v>51</v>
      </c>
      <c r="S985" t="s">
        <v>51</v>
      </c>
      <c r="T985" t="s">
        <v>51</v>
      </c>
    </row>
    <row r="986" spans="1:20">
      <c r="A986" t="s">
        <v>632</v>
      </c>
      <c r="B986" t="s">
        <v>117</v>
      </c>
      <c r="C986" t="s">
        <v>49</v>
      </c>
      <c r="D986" t="s">
        <v>51</v>
      </c>
      <c r="E986" t="s">
        <v>51</v>
      </c>
      <c r="F986" t="s">
        <v>51</v>
      </c>
      <c r="G986" t="s">
        <v>52</v>
      </c>
      <c r="H986" t="s">
        <v>52</v>
      </c>
      <c r="I986" t="s">
        <v>52</v>
      </c>
      <c r="J986" t="s">
        <v>590</v>
      </c>
      <c r="K986" t="s">
        <v>52</v>
      </c>
      <c r="L986" t="s">
        <v>669</v>
      </c>
      <c r="M986" t="s">
        <v>654</v>
      </c>
      <c r="N986" t="s">
        <v>163</v>
      </c>
      <c r="O986" t="s">
        <v>670</v>
      </c>
      <c r="P986" t="s">
        <v>670</v>
      </c>
      <c r="Q986" t="s">
        <v>51</v>
      </c>
      <c r="R986" t="s">
        <v>51</v>
      </c>
      <c r="S986" t="s">
        <v>51</v>
      </c>
      <c r="T986" t="s">
        <v>51</v>
      </c>
    </row>
    <row r="987" spans="1:20">
      <c r="A987" t="s">
        <v>633</v>
      </c>
      <c r="B987" t="s">
        <v>119</v>
      </c>
      <c r="C987" t="s">
        <v>49</v>
      </c>
      <c r="D987" t="s">
        <v>51</v>
      </c>
      <c r="E987" t="s">
        <v>51</v>
      </c>
      <c r="F987" t="s">
        <v>51</v>
      </c>
      <c r="G987" t="s">
        <v>52</v>
      </c>
      <c r="H987" t="s">
        <v>52</v>
      </c>
      <c r="I987" t="s">
        <v>52</v>
      </c>
      <c r="J987" t="s">
        <v>590</v>
      </c>
      <c r="K987" t="s">
        <v>52</v>
      </c>
      <c r="L987" t="s">
        <v>669</v>
      </c>
      <c r="M987" t="s">
        <v>654</v>
      </c>
      <c r="N987" t="s">
        <v>163</v>
      </c>
      <c r="O987" t="s">
        <v>670</v>
      </c>
      <c r="P987" t="s">
        <v>670</v>
      </c>
      <c r="Q987" t="s">
        <v>51</v>
      </c>
      <c r="R987" t="s">
        <v>51</v>
      </c>
      <c r="S987" t="s">
        <v>51</v>
      </c>
      <c r="T987" t="s">
        <v>51</v>
      </c>
    </row>
    <row r="988" spans="1:20">
      <c r="A988" t="s">
        <v>634</v>
      </c>
      <c r="B988" t="s">
        <v>121</v>
      </c>
      <c r="C988" t="s">
        <v>49</v>
      </c>
      <c r="D988" t="s">
        <v>51</v>
      </c>
      <c r="E988" t="s">
        <v>51</v>
      </c>
      <c r="F988" t="s">
        <v>51</v>
      </c>
      <c r="G988" t="s">
        <v>52</v>
      </c>
      <c r="H988" t="s">
        <v>52</v>
      </c>
      <c r="I988" t="s">
        <v>52</v>
      </c>
      <c r="J988" t="s">
        <v>590</v>
      </c>
      <c r="K988" t="s">
        <v>52</v>
      </c>
      <c r="L988" t="s">
        <v>669</v>
      </c>
      <c r="M988" t="s">
        <v>654</v>
      </c>
      <c r="N988" t="s">
        <v>163</v>
      </c>
      <c r="O988" t="s">
        <v>670</v>
      </c>
      <c r="P988" t="s">
        <v>670</v>
      </c>
      <c r="Q988" t="s">
        <v>51</v>
      </c>
      <c r="R988" t="s">
        <v>51</v>
      </c>
      <c r="S988" t="s">
        <v>51</v>
      </c>
      <c r="T988" t="s">
        <v>51</v>
      </c>
    </row>
    <row r="989" spans="1:20">
      <c r="A989" t="s">
        <v>635</v>
      </c>
      <c r="B989" t="s">
        <v>123</v>
      </c>
      <c r="C989" t="s">
        <v>49</v>
      </c>
      <c r="D989" t="s">
        <v>51</v>
      </c>
      <c r="E989" t="s">
        <v>51</v>
      </c>
      <c r="F989" t="s">
        <v>51</v>
      </c>
      <c r="G989" t="s">
        <v>52</v>
      </c>
      <c r="H989" t="s">
        <v>52</v>
      </c>
      <c r="I989" t="s">
        <v>52</v>
      </c>
      <c r="J989" t="s">
        <v>590</v>
      </c>
      <c r="K989" t="s">
        <v>52</v>
      </c>
      <c r="L989" t="s">
        <v>669</v>
      </c>
      <c r="M989" t="s">
        <v>654</v>
      </c>
      <c r="N989" t="s">
        <v>163</v>
      </c>
      <c r="O989" t="s">
        <v>670</v>
      </c>
      <c r="P989" t="s">
        <v>670</v>
      </c>
      <c r="Q989" t="s">
        <v>51</v>
      </c>
      <c r="R989" t="s">
        <v>51</v>
      </c>
      <c r="S989" t="s">
        <v>51</v>
      </c>
      <c r="T989" t="s">
        <v>51</v>
      </c>
    </row>
    <row r="990" spans="1:20">
      <c r="A990" t="s">
        <v>636</v>
      </c>
      <c r="B990" t="s">
        <v>125</v>
      </c>
      <c r="C990" t="s">
        <v>49</v>
      </c>
      <c r="D990" t="s">
        <v>51</v>
      </c>
      <c r="E990" t="s">
        <v>51</v>
      </c>
      <c r="F990" t="s">
        <v>51</v>
      </c>
      <c r="G990" t="s">
        <v>52</v>
      </c>
      <c r="H990" t="s">
        <v>52</v>
      </c>
      <c r="I990" t="s">
        <v>52</v>
      </c>
      <c r="J990" t="s">
        <v>590</v>
      </c>
      <c r="K990" t="s">
        <v>52</v>
      </c>
      <c r="L990" t="s">
        <v>669</v>
      </c>
      <c r="M990" t="s">
        <v>654</v>
      </c>
      <c r="N990" t="s">
        <v>163</v>
      </c>
      <c r="O990" t="s">
        <v>670</v>
      </c>
      <c r="P990" t="s">
        <v>670</v>
      </c>
      <c r="Q990" t="s">
        <v>51</v>
      </c>
      <c r="R990" t="s">
        <v>51</v>
      </c>
      <c r="S990" t="s">
        <v>51</v>
      </c>
      <c r="T990" t="s">
        <v>51</v>
      </c>
    </row>
    <row r="991" spans="1:20">
      <c r="A991" t="s">
        <v>637</v>
      </c>
      <c r="B991" t="s">
        <v>127</v>
      </c>
      <c r="C991" t="s">
        <v>49</v>
      </c>
      <c r="D991" t="s">
        <v>51</v>
      </c>
      <c r="E991" t="s">
        <v>51</v>
      </c>
      <c r="F991" t="s">
        <v>51</v>
      </c>
      <c r="G991" t="s">
        <v>52</v>
      </c>
      <c r="H991" t="s">
        <v>52</v>
      </c>
      <c r="I991" t="s">
        <v>52</v>
      </c>
      <c r="J991" t="s">
        <v>590</v>
      </c>
      <c r="K991" t="s">
        <v>52</v>
      </c>
      <c r="L991" t="s">
        <v>669</v>
      </c>
      <c r="M991" t="s">
        <v>654</v>
      </c>
      <c r="N991" t="s">
        <v>163</v>
      </c>
      <c r="O991" t="s">
        <v>670</v>
      </c>
      <c r="P991" t="s">
        <v>670</v>
      </c>
      <c r="Q991" t="s">
        <v>51</v>
      </c>
      <c r="R991" t="s">
        <v>51</v>
      </c>
      <c r="S991" t="s">
        <v>51</v>
      </c>
      <c r="T991" t="s">
        <v>51</v>
      </c>
    </row>
    <row r="992" spans="1:20">
      <c r="A992" t="s">
        <v>638</v>
      </c>
      <c r="B992" t="s">
        <v>129</v>
      </c>
      <c r="C992" t="s">
        <v>49</v>
      </c>
      <c r="D992" t="s">
        <v>51</v>
      </c>
      <c r="E992" t="s">
        <v>51</v>
      </c>
      <c r="F992" t="s">
        <v>51</v>
      </c>
      <c r="G992" t="s">
        <v>52</v>
      </c>
      <c r="H992" t="s">
        <v>52</v>
      </c>
      <c r="I992" t="s">
        <v>52</v>
      </c>
      <c r="J992" t="s">
        <v>590</v>
      </c>
      <c r="K992" t="s">
        <v>52</v>
      </c>
      <c r="L992" t="s">
        <v>669</v>
      </c>
      <c r="M992" t="s">
        <v>654</v>
      </c>
      <c r="N992" t="s">
        <v>163</v>
      </c>
      <c r="O992" t="s">
        <v>670</v>
      </c>
      <c r="P992" t="s">
        <v>670</v>
      </c>
      <c r="Q992" t="s">
        <v>51</v>
      </c>
      <c r="R992" t="s">
        <v>51</v>
      </c>
      <c r="S992" t="s">
        <v>51</v>
      </c>
      <c r="T992" t="s">
        <v>51</v>
      </c>
    </row>
    <row r="993" spans="1:20">
      <c r="A993" t="s">
        <v>639</v>
      </c>
      <c r="B993" t="s">
        <v>131</v>
      </c>
      <c r="C993" t="s">
        <v>49</v>
      </c>
      <c r="D993" t="s">
        <v>51</v>
      </c>
      <c r="E993" t="s">
        <v>51</v>
      </c>
      <c r="F993" t="s">
        <v>51</v>
      </c>
      <c r="G993" t="s">
        <v>52</v>
      </c>
      <c r="H993" t="s">
        <v>52</v>
      </c>
      <c r="I993" t="s">
        <v>52</v>
      </c>
      <c r="J993" t="s">
        <v>590</v>
      </c>
      <c r="K993" t="s">
        <v>52</v>
      </c>
      <c r="L993" t="s">
        <v>669</v>
      </c>
      <c r="M993" t="s">
        <v>654</v>
      </c>
      <c r="N993" t="s">
        <v>163</v>
      </c>
      <c r="O993" t="s">
        <v>670</v>
      </c>
      <c r="P993" t="s">
        <v>670</v>
      </c>
      <c r="Q993" t="s">
        <v>51</v>
      </c>
      <c r="R993" t="s">
        <v>51</v>
      </c>
      <c r="S993" t="s">
        <v>51</v>
      </c>
      <c r="T993" t="s">
        <v>51</v>
      </c>
    </row>
    <row r="994" spans="1:20">
      <c r="A994" t="s">
        <v>640</v>
      </c>
      <c r="B994" t="s">
        <v>133</v>
      </c>
      <c r="C994" t="s">
        <v>49</v>
      </c>
      <c r="D994" t="s">
        <v>51</v>
      </c>
      <c r="E994" t="s">
        <v>51</v>
      </c>
      <c r="F994" t="s">
        <v>51</v>
      </c>
      <c r="G994" t="s">
        <v>52</v>
      </c>
      <c r="H994" t="s">
        <v>52</v>
      </c>
      <c r="I994" t="s">
        <v>52</v>
      </c>
      <c r="J994" t="s">
        <v>590</v>
      </c>
      <c r="K994" t="s">
        <v>52</v>
      </c>
      <c r="L994" t="s">
        <v>669</v>
      </c>
      <c r="M994" t="s">
        <v>654</v>
      </c>
      <c r="N994" t="s">
        <v>163</v>
      </c>
      <c r="O994" t="s">
        <v>670</v>
      </c>
      <c r="P994" t="s">
        <v>670</v>
      </c>
      <c r="Q994" t="s">
        <v>51</v>
      </c>
      <c r="R994" t="s">
        <v>51</v>
      </c>
      <c r="S994" t="s">
        <v>51</v>
      </c>
      <c r="T994" t="s">
        <v>51</v>
      </c>
    </row>
    <row r="995" spans="1:20">
      <c r="A995" t="s">
        <v>641</v>
      </c>
      <c r="B995" t="s">
        <v>135</v>
      </c>
      <c r="C995" t="s">
        <v>49</v>
      </c>
      <c r="D995" t="s">
        <v>51</v>
      </c>
      <c r="E995" t="s">
        <v>51</v>
      </c>
      <c r="F995" t="s">
        <v>51</v>
      </c>
      <c r="G995" t="s">
        <v>52</v>
      </c>
      <c r="H995" t="s">
        <v>52</v>
      </c>
      <c r="I995" t="s">
        <v>52</v>
      </c>
      <c r="J995" t="s">
        <v>590</v>
      </c>
      <c r="K995" t="s">
        <v>52</v>
      </c>
      <c r="L995" t="s">
        <v>669</v>
      </c>
      <c r="M995" t="s">
        <v>654</v>
      </c>
      <c r="N995" t="s">
        <v>163</v>
      </c>
      <c r="O995" t="s">
        <v>670</v>
      </c>
      <c r="P995" t="s">
        <v>670</v>
      </c>
      <c r="Q995" t="s">
        <v>51</v>
      </c>
      <c r="R995" t="s">
        <v>51</v>
      </c>
      <c r="S995" t="s">
        <v>51</v>
      </c>
      <c r="T995" t="s">
        <v>51</v>
      </c>
    </row>
    <row r="996" spans="1:20">
      <c r="A996" t="s">
        <v>642</v>
      </c>
      <c r="B996" t="s">
        <v>137</v>
      </c>
      <c r="C996" t="s">
        <v>49</v>
      </c>
      <c r="D996" t="s">
        <v>51</v>
      </c>
      <c r="E996" t="s">
        <v>51</v>
      </c>
      <c r="F996" t="s">
        <v>51</v>
      </c>
      <c r="G996" t="s">
        <v>52</v>
      </c>
      <c r="H996" t="s">
        <v>52</v>
      </c>
      <c r="I996" t="s">
        <v>52</v>
      </c>
      <c r="J996" t="s">
        <v>590</v>
      </c>
      <c r="K996" t="s">
        <v>52</v>
      </c>
      <c r="L996" t="s">
        <v>669</v>
      </c>
      <c r="M996" t="s">
        <v>654</v>
      </c>
      <c r="N996" t="s">
        <v>163</v>
      </c>
      <c r="O996" t="s">
        <v>670</v>
      </c>
      <c r="P996" t="s">
        <v>670</v>
      </c>
      <c r="Q996" t="s">
        <v>51</v>
      </c>
      <c r="R996" t="s">
        <v>51</v>
      </c>
      <c r="S996" t="s">
        <v>51</v>
      </c>
      <c r="T996" t="s">
        <v>51</v>
      </c>
    </row>
    <row r="997" spans="1:20">
      <c r="A997" t="s">
        <v>643</v>
      </c>
      <c r="B997" t="s">
        <v>139</v>
      </c>
      <c r="C997" t="s">
        <v>49</v>
      </c>
      <c r="D997" t="s">
        <v>51</v>
      </c>
      <c r="E997" t="s">
        <v>51</v>
      </c>
      <c r="F997" t="s">
        <v>51</v>
      </c>
      <c r="G997" t="s">
        <v>52</v>
      </c>
      <c r="H997" t="s">
        <v>52</v>
      </c>
      <c r="I997" t="s">
        <v>52</v>
      </c>
      <c r="J997" t="s">
        <v>590</v>
      </c>
      <c r="K997" t="s">
        <v>52</v>
      </c>
      <c r="L997" t="s">
        <v>669</v>
      </c>
      <c r="M997" t="s">
        <v>654</v>
      </c>
      <c r="N997" t="s">
        <v>163</v>
      </c>
      <c r="O997" t="s">
        <v>670</v>
      </c>
      <c r="P997" t="s">
        <v>670</v>
      </c>
      <c r="Q997" t="s">
        <v>51</v>
      </c>
      <c r="R997" t="s">
        <v>51</v>
      </c>
      <c r="S997" t="s">
        <v>51</v>
      </c>
      <c r="T997" t="s">
        <v>51</v>
      </c>
    </row>
    <row r="998" spans="1:20">
      <c r="A998" t="s">
        <v>644</v>
      </c>
      <c r="B998" t="s">
        <v>141</v>
      </c>
      <c r="C998" t="s">
        <v>49</v>
      </c>
      <c r="D998" t="s">
        <v>51</v>
      </c>
      <c r="E998" t="s">
        <v>51</v>
      </c>
      <c r="F998" t="s">
        <v>51</v>
      </c>
      <c r="G998" t="s">
        <v>52</v>
      </c>
      <c r="H998" t="s">
        <v>52</v>
      </c>
      <c r="I998" t="s">
        <v>52</v>
      </c>
      <c r="J998" t="s">
        <v>590</v>
      </c>
      <c r="K998" t="s">
        <v>52</v>
      </c>
      <c r="L998" t="s">
        <v>669</v>
      </c>
      <c r="M998" t="s">
        <v>654</v>
      </c>
      <c r="N998" t="s">
        <v>163</v>
      </c>
      <c r="O998" t="s">
        <v>670</v>
      </c>
      <c r="P998" t="s">
        <v>670</v>
      </c>
      <c r="Q998" t="s">
        <v>51</v>
      </c>
      <c r="R998" t="s">
        <v>51</v>
      </c>
      <c r="S998" t="s">
        <v>51</v>
      </c>
      <c r="T998" t="s">
        <v>51</v>
      </c>
    </row>
    <row r="999" spans="1:20">
      <c r="A999" t="s">
        <v>645</v>
      </c>
      <c r="B999" t="s">
        <v>143</v>
      </c>
      <c r="C999" t="s">
        <v>49</v>
      </c>
      <c r="D999" t="s">
        <v>51</v>
      </c>
      <c r="E999" t="s">
        <v>51</v>
      </c>
      <c r="F999" t="s">
        <v>51</v>
      </c>
      <c r="G999" t="s">
        <v>52</v>
      </c>
      <c r="H999" t="s">
        <v>52</v>
      </c>
      <c r="I999" t="s">
        <v>52</v>
      </c>
      <c r="J999" t="s">
        <v>590</v>
      </c>
      <c r="K999" t="s">
        <v>52</v>
      </c>
      <c r="L999" t="s">
        <v>669</v>
      </c>
      <c r="M999" t="s">
        <v>654</v>
      </c>
      <c r="N999" t="s">
        <v>163</v>
      </c>
      <c r="O999" t="s">
        <v>670</v>
      </c>
      <c r="P999" t="s">
        <v>670</v>
      </c>
      <c r="Q999" t="s">
        <v>51</v>
      </c>
      <c r="R999" t="s">
        <v>51</v>
      </c>
      <c r="S999" t="s">
        <v>51</v>
      </c>
      <c r="T999" t="s">
        <v>51</v>
      </c>
    </row>
    <row r="1000" spans="1:20">
      <c r="A1000" t="s">
        <v>646</v>
      </c>
      <c r="B1000" t="s">
        <v>145</v>
      </c>
      <c r="C1000" t="s">
        <v>49</v>
      </c>
      <c r="D1000" t="s">
        <v>51</v>
      </c>
      <c r="E1000" t="s">
        <v>51</v>
      </c>
      <c r="F1000" t="s">
        <v>51</v>
      </c>
      <c r="G1000" t="s">
        <v>52</v>
      </c>
      <c r="H1000" t="s">
        <v>52</v>
      </c>
      <c r="I1000" t="s">
        <v>52</v>
      </c>
      <c r="J1000" t="s">
        <v>590</v>
      </c>
      <c r="K1000" t="s">
        <v>52</v>
      </c>
      <c r="L1000" t="s">
        <v>669</v>
      </c>
      <c r="M1000" t="s">
        <v>654</v>
      </c>
      <c r="N1000" t="s">
        <v>163</v>
      </c>
      <c r="O1000" t="s">
        <v>670</v>
      </c>
      <c r="P1000" t="s">
        <v>670</v>
      </c>
      <c r="Q1000" t="s">
        <v>51</v>
      </c>
      <c r="R1000" t="s">
        <v>51</v>
      </c>
      <c r="S1000" t="s">
        <v>51</v>
      </c>
      <c r="T1000" t="s">
        <v>51</v>
      </c>
    </row>
    <row r="1001" spans="1:20">
      <c r="A1001" t="s">
        <v>647</v>
      </c>
      <c r="B1001" t="s">
        <v>147</v>
      </c>
      <c r="C1001" t="s">
        <v>49</v>
      </c>
      <c r="D1001" t="s">
        <v>51</v>
      </c>
      <c r="E1001" t="s">
        <v>51</v>
      </c>
      <c r="F1001" t="s">
        <v>51</v>
      </c>
      <c r="G1001" t="s">
        <v>52</v>
      </c>
      <c r="H1001" t="s">
        <v>52</v>
      </c>
      <c r="I1001" t="s">
        <v>52</v>
      </c>
      <c r="J1001" t="s">
        <v>590</v>
      </c>
      <c r="K1001" t="s">
        <v>52</v>
      </c>
      <c r="L1001" t="s">
        <v>669</v>
      </c>
      <c r="M1001" t="s">
        <v>654</v>
      </c>
      <c r="N1001" t="s">
        <v>163</v>
      </c>
      <c r="O1001" t="s">
        <v>670</v>
      </c>
      <c r="P1001" t="s">
        <v>670</v>
      </c>
      <c r="Q1001" t="s">
        <v>51</v>
      </c>
      <c r="R1001" t="s">
        <v>51</v>
      </c>
      <c r="S1001" t="s">
        <v>51</v>
      </c>
      <c r="T1001" t="s">
        <v>51</v>
      </c>
    </row>
    <row r="1002" spans="1:20">
      <c r="A1002" t="s">
        <v>648</v>
      </c>
      <c r="B1002" t="s">
        <v>149</v>
      </c>
      <c r="C1002" t="s">
        <v>49</v>
      </c>
      <c r="D1002" t="s">
        <v>51</v>
      </c>
      <c r="E1002" t="s">
        <v>51</v>
      </c>
      <c r="F1002" t="s">
        <v>51</v>
      </c>
      <c r="G1002" t="s">
        <v>52</v>
      </c>
      <c r="H1002" t="s">
        <v>52</v>
      </c>
      <c r="I1002" t="s">
        <v>52</v>
      </c>
      <c r="J1002" t="s">
        <v>590</v>
      </c>
      <c r="K1002" t="s">
        <v>52</v>
      </c>
      <c r="L1002" t="s">
        <v>669</v>
      </c>
      <c r="M1002" t="s">
        <v>654</v>
      </c>
      <c r="N1002" t="s">
        <v>163</v>
      </c>
      <c r="O1002" t="s">
        <v>670</v>
      </c>
      <c r="P1002" t="s">
        <v>670</v>
      </c>
      <c r="Q1002" t="s">
        <v>51</v>
      </c>
      <c r="R1002" t="s">
        <v>51</v>
      </c>
      <c r="S1002" t="s">
        <v>51</v>
      </c>
      <c r="T1002" t="s">
        <v>51</v>
      </c>
    </row>
    <row r="1003" spans="1:20">
      <c r="A1003" t="s">
        <v>649</v>
      </c>
      <c r="B1003" t="s">
        <v>151</v>
      </c>
      <c r="C1003" t="s">
        <v>49</v>
      </c>
      <c r="D1003" t="s">
        <v>51</v>
      </c>
      <c r="E1003" t="s">
        <v>51</v>
      </c>
      <c r="F1003" t="s">
        <v>51</v>
      </c>
      <c r="G1003" t="s">
        <v>52</v>
      </c>
      <c r="H1003" t="s">
        <v>52</v>
      </c>
      <c r="I1003" t="s">
        <v>52</v>
      </c>
      <c r="J1003" t="s">
        <v>590</v>
      </c>
      <c r="K1003" t="s">
        <v>52</v>
      </c>
      <c r="L1003" t="s">
        <v>669</v>
      </c>
      <c r="M1003" t="s">
        <v>654</v>
      </c>
      <c r="N1003" t="s">
        <v>163</v>
      </c>
      <c r="O1003" t="s">
        <v>670</v>
      </c>
      <c r="P1003" t="s">
        <v>670</v>
      </c>
      <c r="Q1003" t="s">
        <v>51</v>
      </c>
      <c r="R1003" t="s">
        <v>51</v>
      </c>
      <c r="S1003" t="s">
        <v>51</v>
      </c>
      <c r="T1003" t="s">
        <v>51</v>
      </c>
    </row>
    <row r="1004" spans="1:20">
      <c r="A1004" t="s">
        <v>650</v>
      </c>
      <c r="B1004" t="s">
        <v>153</v>
      </c>
      <c r="C1004" t="s">
        <v>49</v>
      </c>
      <c r="D1004" t="s">
        <v>51</v>
      </c>
      <c r="E1004" t="s">
        <v>51</v>
      </c>
      <c r="F1004" t="s">
        <v>51</v>
      </c>
      <c r="G1004" t="s">
        <v>52</v>
      </c>
      <c r="H1004" t="s">
        <v>52</v>
      </c>
      <c r="I1004" t="s">
        <v>52</v>
      </c>
      <c r="J1004" t="s">
        <v>590</v>
      </c>
      <c r="K1004" t="s">
        <v>52</v>
      </c>
      <c r="L1004" t="s">
        <v>669</v>
      </c>
      <c r="M1004" t="s">
        <v>654</v>
      </c>
      <c r="N1004" t="s">
        <v>163</v>
      </c>
      <c r="O1004" t="s">
        <v>670</v>
      </c>
      <c r="P1004" t="s">
        <v>670</v>
      </c>
      <c r="Q1004" t="s">
        <v>51</v>
      </c>
      <c r="R1004" t="s">
        <v>51</v>
      </c>
      <c r="S1004" t="s">
        <v>51</v>
      </c>
      <c r="T1004" t="s">
        <v>51</v>
      </c>
    </row>
    <row r="1005" spans="1:20">
      <c r="A1005" t="s">
        <v>588</v>
      </c>
      <c r="B1005" t="s">
        <v>589</v>
      </c>
      <c r="C1005" t="s">
        <v>165</v>
      </c>
      <c r="D1005" t="s">
        <v>50</v>
      </c>
      <c r="E1005" t="s">
        <v>51</v>
      </c>
      <c r="F1005" t="s">
        <v>51</v>
      </c>
      <c r="G1005" t="s">
        <v>52</v>
      </c>
      <c r="H1005" t="s">
        <v>52</v>
      </c>
      <c r="I1005" t="s">
        <v>52</v>
      </c>
      <c r="J1005" t="s">
        <v>52</v>
      </c>
      <c r="K1005" t="s">
        <v>52</v>
      </c>
      <c r="L1005" t="s">
        <v>671</v>
      </c>
      <c r="M1005" t="s">
        <v>654</v>
      </c>
      <c r="N1005" t="s">
        <v>163</v>
      </c>
      <c r="O1005" t="s">
        <v>672</v>
      </c>
      <c r="P1005" t="s">
        <v>672</v>
      </c>
      <c r="Q1005" t="s">
        <v>51</v>
      </c>
      <c r="R1005" t="s">
        <v>51</v>
      </c>
      <c r="S1005" t="s">
        <v>51</v>
      </c>
      <c r="T1005" t="s">
        <v>51</v>
      </c>
    </row>
    <row r="1006" spans="1:20">
      <c r="A1006" t="s">
        <v>616</v>
      </c>
      <c r="B1006" t="s">
        <v>85</v>
      </c>
      <c r="C1006" t="s">
        <v>49</v>
      </c>
      <c r="D1006" t="s">
        <v>51</v>
      </c>
      <c r="E1006" t="s">
        <v>51</v>
      </c>
      <c r="F1006" t="s">
        <v>51</v>
      </c>
      <c r="G1006" t="s">
        <v>52</v>
      </c>
      <c r="H1006" t="s">
        <v>52</v>
      </c>
      <c r="I1006" t="s">
        <v>52</v>
      </c>
      <c r="J1006" t="s">
        <v>590</v>
      </c>
      <c r="K1006" t="s">
        <v>52</v>
      </c>
      <c r="L1006" t="s">
        <v>671</v>
      </c>
      <c r="M1006" t="s">
        <v>654</v>
      </c>
      <c r="N1006" t="s">
        <v>163</v>
      </c>
      <c r="O1006" t="s">
        <v>672</v>
      </c>
      <c r="P1006" t="s">
        <v>672</v>
      </c>
      <c r="Q1006" t="s">
        <v>51</v>
      </c>
      <c r="R1006" t="s">
        <v>51</v>
      </c>
      <c r="S1006" t="s">
        <v>51</v>
      </c>
      <c r="T1006" t="s">
        <v>51</v>
      </c>
    </row>
    <row r="1007" spans="1:20">
      <c r="A1007" t="s">
        <v>617</v>
      </c>
      <c r="B1007" t="s">
        <v>87</v>
      </c>
      <c r="C1007" t="s">
        <v>49</v>
      </c>
      <c r="D1007" t="s">
        <v>51</v>
      </c>
      <c r="E1007" t="s">
        <v>51</v>
      </c>
      <c r="F1007" t="s">
        <v>51</v>
      </c>
      <c r="G1007" t="s">
        <v>52</v>
      </c>
      <c r="H1007" t="s">
        <v>52</v>
      </c>
      <c r="I1007" t="s">
        <v>52</v>
      </c>
      <c r="J1007" t="s">
        <v>590</v>
      </c>
      <c r="K1007" t="s">
        <v>52</v>
      </c>
      <c r="L1007" t="s">
        <v>671</v>
      </c>
      <c r="M1007" t="s">
        <v>654</v>
      </c>
      <c r="N1007" t="s">
        <v>163</v>
      </c>
      <c r="O1007" t="s">
        <v>672</v>
      </c>
      <c r="P1007" t="s">
        <v>672</v>
      </c>
      <c r="Q1007" t="s">
        <v>51</v>
      </c>
      <c r="R1007" t="s">
        <v>51</v>
      </c>
      <c r="S1007" t="s">
        <v>51</v>
      </c>
      <c r="T1007" t="s">
        <v>51</v>
      </c>
    </row>
    <row r="1008" spans="1:20">
      <c r="A1008" t="s">
        <v>618</v>
      </c>
      <c r="B1008" t="s">
        <v>89</v>
      </c>
      <c r="C1008" t="s">
        <v>49</v>
      </c>
      <c r="D1008" t="s">
        <v>51</v>
      </c>
      <c r="E1008" t="s">
        <v>51</v>
      </c>
      <c r="F1008" t="s">
        <v>51</v>
      </c>
      <c r="G1008" t="s">
        <v>52</v>
      </c>
      <c r="H1008" t="s">
        <v>52</v>
      </c>
      <c r="I1008" t="s">
        <v>52</v>
      </c>
      <c r="J1008" t="s">
        <v>590</v>
      </c>
      <c r="K1008" t="s">
        <v>52</v>
      </c>
      <c r="L1008" t="s">
        <v>671</v>
      </c>
      <c r="M1008" t="s">
        <v>654</v>
      </c>
      <c r="N1008" t="s">
        <v>163</v>
      </c>
      <c r="O1008" t="s">
        <v>672</v>
      </c>
      <c r="P1008" t="s">
        <v>672</v>
      </c>
      <c r="Q1008" t="s">
        <v>51</v>
      </c>
      <c r="R1008" t="s">
        <v>51</v>
      </c>
      <c r="S1008" t="s">
        <v>51</v>
      </c>
      <c r="T1008" t="s">
        <v>51</v>
      </c>
    </row>
    <row r="1009" spans="1:20">
      <c r="A1009" t="s">
        <v>619</v>
      </c>
      <c r="B1009" t="s">
        <v>91</v>
      </c>
      <c r="C1009" t="s">
        <v>49</v>
      </c>
      <c r="D1009" t="s">
        <v>51</v>
      </c>
      <c r="E1009" t="s">
        <v>51</v>
      </c>
      <c r="F1009" t="s">
        <v>51</v>
      </c>
      <c r="G1009" t="s">
        <v>52</v>
      </c>
      <c r="H1009" t="s">
        <v>52</v>
      </c>
      <c r="I1009" t="s">
        <v>52</v>
      </c>
      <c r="J1009" t="s">
        <v>590</v>
      </c>
      <c r="K1009" t="s">
        <v>52</v>
      </c>
      <c r="L1009" t="s">
        <v>671</v>
      </c>
      <c r="M1009" t="s">
        <v>654</v>
      </c>
      <c r="N1009" t="s">
        <v>163</v>
      </c>
      <c r="O1009" t="s">
        <v>672</v>
      </c>
      <c r="P1009" t="s">
        <v>672</v>
      </c>
      <c r="Q1009" t="s">
        <v>51</v>
      </c>
      <c r="R1009" t="s">
        <v>51</v>
      </c>
      <c r="S1009" t="s">
        <v>51</v>
      </c>
      <c r="T1009" t="s">
        <v>51</v>
      </c>
    </row>
    <row r="1010" spans="1:20">
      <c r="A1010" t="s">
        <v>620</v>
      </c>
      <c r="B1010" t="s">
        <v>93</v>
      </c>
      <c r="C1010" t="s">
        <v>49</v>
      </c>
      <c r="D1010" t="s">
        <v>51</v>
      </c>
      <c r="E1010" t="s">
        <v>51</v>
      </c>
      <c r="F1010" t="s">
        <v>51</v>
      </c>
      <c r="G1010" t="s">
        <v>52</v>
      </c>
      <c r="H1010" t="s">
        <v>52</v>
      </c>
      <c r="I1010" t="s">
        <v>52</v>
      </c>
      <c r="J1010" t="s">
        <v>590</v>
      </c>
      <c r="K1010" t="s">
        <v>52</v>
      </c>
      <c r="L1010" t="s">
        <v>671</v>
      </c>
      <c r="M1010" t="s">
        <v>654</v>
      </c>
      <c r="N1010" t="s">
        <v>163</v>
      </c>
      <c r="O1010" t="s">
        <v>672</v>
      </c>
      <c r="P1010" t="s">
        <v>672</v>
      </c>
      <c r="Q1010" t="s">
        <v>51</v>
      </c>
      <c r="R1010" t="s">
        <v>51</v>
      </c>
      <c r="S1010" t="s">
        <v>51</v>
      </c>
      <c r="T1010" t="s">
        <v>51</v>
      </c>
    </row>
    <row r="1011" spans="1:20">
      <c r="A1011" t="s">
        <v>621</v>
      </c>
      <c r="B1011" t="s">
        <v>95</v>
      </c>
      <c r="C1011" t="s">
        <v>49</v>
      </c>
      <c r="D1011" t="s">
        <v>51</v>
      </c>
      <c r="E1011" t="s">
        <v>51</v>
      </c>
      <c r="F1011" t="s">
        <v>51</v>
      </c>
      <c r="G1011" t="s">
        <v>52</v>
      </c>
      <c r="H1011" t="s">
        <v>52</v>
      </c>
      <c r="I1011" t="s">
        <v>52</v>
      </c>
      <c r="J1011" t="s">
        <v>590</v>
      </c>
      <c r="K1011" t="s">
        <v>52</v>
      </c>
      <c r="L1011" t="s">
        <v>671</v>
      </c>
      <c r="M1011" t="s">
        <v>654</v>
      </c>
      <c r="N1011" t="s">
        <v>163</v>
      </c>
      <c r="O1011" t="s">
        <v>672</v>
      </c>
      <c r="P1011" t="s">
        <v>672</v>
      </c>
      <c r="Q1011" t="s">
        <v>51</v>
      </c>
      <c r="R1011" t="s">
        <v>51</v>
      </c>
      <c r="S1011" t="s">
        <v>51</v>
      </c>
      <c r="T1011" t="s">
        <v>51</v>
      </c>
    </row>
    <row r="1012" spans="1:20">
      <c r="A1012" t="s">
        <v>622</v>
      </c>
      <c r="B1012" t="s">
        <v>97</v>
      </c>
      <c r="C1012" t="s">
        <v>49</v>
      </c>
      <c r="D1012" t="s">
        <v>51</v>
      </c>
      <c r="E1012" t="s">
        <v>51</v>
      </c>
      <c r="F1012" t="s">
        <v>51</v>
      </c>
      <c r="G1012" t="s">
        <v>52</v>
      </c>
      <c r="H1012" t="s">
        <v>52</v>
      </c>
      <c r="I1012" t="s">
        <v>52</v>
      </c>
      <c r="J1012" t="s">
        <v>590</v>
      </c>
      <c r="K1012" t="s">
        <v>52</v>
      </c>
      <c r="L1012" t="s">
        <v>671</v>
      </c>
      <c r="M1012" t="s">
        <v>654</v>
      </c>
      <c r="N1012" t="s">
        <v>163</v>
      </c>
      <c r="O1012" t="s">
        <v>672</v>
      </c>
      <c r="P1012" t="s">
        <v>672</v>
      </c>
      <c r="Q1012" t="s">
        <v>51</v>
      </c>
      <c r="R1012" t="s">
        <v>51</v>
      </c>
      <c r="S1012" t="s">
        <v>51</v>
      </c>
      <c r="T1012" t="s">
        <v>51</v>
      </c>
    </row>
    <row r="1013" spans="1:20">
      <c r="A1013" t="s">
        <v>623</v>
      </c>
      <c r="B1013" t="s">
        <v>99</v>
      </c>
      <c r="C1013" t="s">
        <v>49</v>
      </c>
      <c r="D1013" t="s">
        <v>51</v>
      </c>
      <c r="E1013" t="s">
        <v>51</v>
      </c>
      <c r="F1013" t="s">
        <v>51</v>
      </c>
      <c r="G1013" t="s">
        <v>52</v>
      </c>
      <c r="H1013" t="s">
        <v>52</v>
      </c>
      <c r="I1013" t="s">
        <v>52</v>
      </c>
      <c r="J1013" t="s">
        <v>590</v>
      </c>
      <c r="K1013" t="s">
        <v>52</v>
      </c>
      <c r="L1013" t="s">
        <v>671</v>
      </c>
      <c r="M1013" t="s">
        <v>654</v>
      </c>
      <c r="N1013" t="s">
        <v>163</v>
      </c>
      <c r="O1013" t="s">
        <v>672</v>
      </c>
      <c r="P1013" t="s">
        <v>672</v>
      </c>
      <c r="Q1013" t="s">
        <v>51</v>
      </c>
      <c r="R1013" t="s">
        <v>51</v>
      </c>
      <c r="S1013" t="s">
        <v>51</v>
      </c>
      <c r="T1013" t="s">
        <v>51</v>
      </c>
    </row>
    <row r="1014" spans="1:20">
      <c r="A1014" t="s">
        <v>624</v>
      </c>
      <c r="B1014" t="s">
        <v>101</v>
      </c>
      <c r="C1014" t="s">
        <v>49</v>
      </c>
      <c r="D1014" t="s">
        <v>51</v>
      </c>
      <c r="E1014" t="s">
        <v>51</v>
      </c>
      <c r="F1014" t="s">
        <v>51</v>
      </c>
      <c r="G1014" t="s">
        <v>52</v>
      </c>
      <c r="H1014" t="s">
        <v>52</v>
      </c>
      <c r="I1014" t="s">
        <v>52</v>
      </c>
      <c r="J1014" t="s">
        <v>590</v>
      </c>
      <c r="K1014" t="s">
        <v>52</v>
      </c>
      <c r="L1014" t="s">
        <v>671</v>
      </c>
      <c r="M1014" t="s">
        <v>654</v>
      </c>
      <c r="N1014" t="s">
        <v>163</v>
      </c>
      <c r="O1014" t="s">
        <v>672</v>
      </c>
      <c r="P1014" t="s">
        <v>672</v>
      </c>
      <c r="Q1014" t="s">
        <v>51</v>
      </c>
      <c r="R1014" t="s">
        <v>51</v>
      </c>
      <c r="S1014" t="s">
        <v>51</v>
      </c>
      <c r="T1014" t="s">
        <v>51</v>
      </c>
    </row>
    <row r="1015" spans="1:20">
      <c r="A1015" t="s">
        <v>625</v>
      </c>
      <c r="B1015" t="s">
        <v>103</v>
      </c>
      <c r="C1015" t="s">
        <v>49</v>
      </c>
      <c r="D1015" t="s">
        <v>51</v>
      </c>
      <c r="E1015" t="s">
        <v>51</v>
      </c>
      <c r="F1015" t="s">
        <v>51</v>
      </c>
      <c r="G1015" t="s">
        <v>52</v>
      </c>
      <c r="H1015" t="s">
        <v>52</v>
      </c>
      <c r="I1015" t="s">
        <v>52</v>
      </c>
      <c r="J1015" t="s">
        <v>590</v>
      </c>
      <c r="K1015" t="s">
        <v>52</v>
      </c>
      <c r="L1015" t="s">
        <v>671</v>
      </c>
      <c r="M1015" t="s">
        <v>654</v>
      </c>
      <c r="N1015" t="s">
        <v>163</v>
      </c>
      <c r="O1015" t="s">
        <v>672</v>
      </c>
      <c r="P1015" t="s">
        <v>672</v>
      </c>
      <c r="Q1015" t="s">
        <v>51</v>
      </c>
      <c r="R1015" t="s">
        <v>51</v>
      </c>
      <c r="S1015" t="s">
        <v>51</v>
      </c>
      <c r="T1015" t="s">
        <v>51</v>
      </c>
    </row>
    <row r="1016" spans="1:20">
      <c r="A1016" t="s">
        <v>626</v>
      </c>
      <c r="B1016" t="s">
        <v>105</v>
      </c>
      <c r="C1016" t="s">
        <v>49</v>
      </c>
      <c r="D1016" t="s">
        <v>51</v>
      </c>
      <c r="E1016" t="s">
        <v>51</v>
      </c>
      <c r="F1016" t="s">
        <v>51</v>
      </c>
      <c r="G1016" t="s">
        <v>52</v>
      </c>
      <c r="H1016" t="s">
        <v>52</v>
      </c>
      <c r="I1016" t="s">
        <v>52</v>
      </c>
      <c r="J1016" t="s">
        <v>590</v>
      </c>
      <c r="K1016" t="s">
        <v>52</v>
      </c>
      <c r="L1016" t="s">
        <v>671</v>
      </c>
      <c r="M1016" t="s">
        <v>654</v>
      </c>
      <c r="N1016" t="s">
        <v>163</v>
      </c>
      <c r="O1016" t="s">
        <v>672</v>
      </c>
      <c r="P1016" t="s">
        <v>672</v>
      </c>
      <c r="Q1016" t="s">
        <v>51</v>
      </c>
      <c r="R1016" t="s">
        <v>51</v>
      </c>
      <c r="S1016" t="s">
        <v>51</v>
      </c>
      <c r="T1016" t="s">
        <v>51</v>
      </c>
    </row>
    <row r="1017" spans="1:20">
      <c r="A1017" t="s">
        <v>627</v>
      </c>
      <c r="B1017" t="s">
        <v>107</v>
      </c>
      <c r="C1017" t="s">
        <v>49</v>
      </c>
      <c r="D1017" t="s">
        <v>51</v>
      </c>
      <c r="E1017" t="s">
        <v>51</v>
      </c>
      <c r="F1017" t="s">
        <v>51</v>
      </c>
      <c r="G1017" t="s">
        <v>52</v>
      </c>
      <c r="H1017" t="s">
        <v>52</v>
      </c>
      <c r="I1017" t="s">
        <v>52</v>
      </c>
      <c r="J1017" t="s">
        <v>590</v>
      </c>
      <c r="K1017" t="s">
        <v>52</v>
      </c>
      <c r="L1017" t="s">
        <v>671</v>
      </c>
      <c r="M1017" t="s">
        <v>654</v>
      </c>
      <c r="N1017" t="s">
        <v>163</v>
      </c>
      <c r="O1017" t="s">
        <v>672</v>
      </c>
      <c r="P1017" t="s">
        <v>672</v>
      </c>
      <c r="Q1017" t="s">
        <v>51</v>
      </c>
      <c r="R1017" t="s">
        <v>51</v>
      </c>
      <c r="S1017" t="s">
        <v>51</v>
      </c>
      <c r="T1017" t="s">
        <v>51</v>
      </c>
    </row>
    <row r="1018" spans="1:20">
      <c r="A1018" t="s">
        <v>628</v>
      </c>
      <c r="B1018" t="s">
        <v>109</v>
      </c>
      <c r="C1018" t="s">
        <v>49</v>
      </c>
      <c r="D1018" t="s">
        <v>51</v>
      </c>
      <c r="E1018" t="s">
        <v>51</v>
      </c>
      <c r="F1018" t="s">
        <v>51</v>
      </c>
      <c r="G1018" t="s">
        <v>52</v>
      </c>
      <c r="H1018" t="s">
        <v>52</v>
      </c>
      <c r="I1018" t="s">
        <v>52</v>
      </c>
      <c r="J1018" t="s">
        <v>590</v>
      </c>
      <c r="K1018" t="s">
        <v>52</v>
      </c>
      <c r="L1018" t="s">
        <v>671</v>
      </c>
      <c r="M1018" t="s">
        <v>654</v>
      </c>
      <c r="N1018" t="s">
        <v>163</v>
      </c>
      <c r="O1018" t="s">
        <v>672</v>
      </c>
      <c r="P1018" t="s">
        <v>672</v>
      </c>
      <c r="Q1018" t="s">
        <v>51</v>
      </c>
      <c r="R1018" t="s">
        <v>51</v>
      </c>
      <c r="S1018" t="s">
        <v>51</v>
      </c>
      <c r="T1018" t="s">
        <v>51</v>
      </c>
    </row>
    <row r="1019" spans="1:20">
      <c r="A1019" t="s">
        <v>629</v>
      </c>
      <c r="B1019" t="s">
        <v>111</v>
      </c>
      <c r="C1019" t="s">
        <v>49</v>
      </c>
      <c r="D1019" t="s">
        <v>51</v>
      </c>
      <c r="E1019" t="s">
        <v>51</v>
      </c>
      <c r="F1019" t="s">
        <v>51</v>
      </c>
      <c r="G1019" t="s">
        <v>52</v>
      </c>
      <c r="H1019" t="s">
        <v>52</v>
      </c>
      <c r="I1019" t="s">
        <v>52</v>
      </c>
      <c r="J1019" t="s">
        <v>590</v>
      </c>
      <c r="K1019" t="s">
        <v>52</v>
      </c>
      <c r="L1019" t="s">
        <v>671</v>
      </c>
      <c r="M1019" t="s">
        <v>654</v>
      </c>
      <c r="N1019" t="s">
        <v>163</v>
      </c>
      <c r="O1019" t="s">
        <v>672</v>
      </c>
      <c r="P1019" t="s">
        <v>672</v>
      </c>
      <c r="Q1019" t="s">
        <v>51</v>
      </c>
      <c r="R1019" t="s">
        <v>51</v>
      </c>
      <c r="S1019" t="s">
        <v>51</v>
      </c>
      <c r="T1019" t="s">
        <v>51</v>
      </c>
    </row>
    <row r="1020" spans="1:20">
      <c r="A1020" t="s">
        <v>630</v>
      </c>
      <c r="B1020" t="s">
        <v>113</v>
      </c>
      <c r="C1020" t="s">
        <v>49</v>
      </c>
      <c r="D1020" t="s">
        <v>51</v>
      </c>
      <c r="E1020" t="s">
        <v>51</v>
      </c>
      <c r="F1020" t="s">
        <v>51</v>
      </c>
      <c r="G1020" t="s">
        <v>52</v>
      </c>
      <c r="H1020" t="s">
        <v>52</v>
      </c>
      <c r="I1020" t="s">
        <v>52</v>
      </c>
      <c r="J1020" t="s">
        <v>590</v>
      </c>
      <c r="K1020" t="s">
        <v>52</v>
      </c>
      <c r="L1020" t="s">
        <v>671</v>
      </c>
      <c r="M1020" t="s">
        <v>654</v>
      </c>
      <c r="N1020" t="s">
        <v>163</v>
      </c>
      <c r="O1020" t="s">
        <v>672</v>
      </c>
      <c r="P1020" t="s">
        <v>672</v>
      </c>
      <c r="Q1020" t="s">
        <v>51</v>
      </c>
      <c r="R1020" t="s">
        <v>51</v>
      </c>
      <c r="S1020" t="s">
        <v>51</v>
      </c>
      <c r="T1020" t="s">
        <v>51</v>
      </c>
    </row>
    <row r="1021" spans="1:20">
      <c r="A1021" t="s">
        <v>631</v>
      </c>
      <c r="B1021" t="s">
        <v>115</v>
      </c>
      <c r="C1021" t="s">
        <v>49</v>
      </c>
      <c r="D1021" t="s">
        <v>51</v>
      </c>
      <c r="E1021" t="s">
        <v>51</v>
      </c>
      <c r="F1021" t="s">
        <v>51</v>
      </c>
      <c r="G1021" t="s">
        <v>52</v>
      </c>
      <c r="H1021" t="s">
        <v>52</v>
      </c>
      <c r="I1021" t="s">
        <v>52</v>
      </c>
      <c r="J1021" t="s">
        <v>590</v>
      </c>
      <c r="K1021" t="s">
        <v>52</v>
      </c>
      <c r="L1021" t="s">
        <v>671</v>
      </c>
      <c r="M1021" t="s">
        <v>654</v>
      </c>
      <c r="N1021" t="s">
        <v>163</v>
      </c>
      <c r="O1021" t="s">
        <v>672</v>
      </c>
      <c r="P1021" t="s">
        <v>672</v>
      </c>
      <c r="Q1021" t="s">
        <v>51</v>
      </c>
      <c r="R1021" t="s">
        <v>51</v>
      </c>
      <c r="S1021" t="s">
        <v>51</v>
      </c>
      <c r="T1021" t="s">
        <v>51</v>
      </c>
    </row>
    <row r="1022" spans="1:20">
      <c r="A1022" t="s">
        <v>632</v>
      </c>
      <c r="B1022" t="s">
        <v>117</v>
      </c>
      <c r="C1022" t="s">
        <v>49</v>
      </c>
      <c r="D1022" t="s">
        <v>51</v>
      </c>
      <c r="E1022" t="s">
        <v>51</v>
      </c>
      <c r="F1022" t="s">
        <v>51</v>
      </c>
      <c r="G1022" t="s">
        <v>52</v>
      </c>
      <c r="H1022" t="s">
        <v>52</v>
      </c>
      <c r="I1022" t="s">
        <v>52</v>
      </c>
      <c r="J1022" t="s">
        <v>590</v>
      </c>
      <c r="K1022" t="s">
        <v>52</v>
      </c>
      <c r="L1022" t="s">
        <v>671</v>
      </c>
      <c r="M1022" t="s">
        <v>654</v>
      </c>
      <c r="N1022" t="s">
        <v>163</v>
      </c>
      <c r="O1022" t="s">
        <v>672</v>
      </c>
      <c r="P1022" t="s">
        <v>672</v>
      </c>
      <c r="Q1022" t="s">
        <v>51</v>
      </c>
      <c r="R1022" t="s">
        <v>51</v>
      </c>
      <c r="S1022" t="s">
        <v>51</v>
      </c>
      <c r="T1022" t="s">
        <v>51</v>
      </c>
    </row>
    <row r="1023" spans="1:20">
      <c r="A1023" t="s">
        <v>633</v>
      </c>
      <c r="B1023" t="s">
        <v>119</v>
      </c>
      <c r="C1023" t="s">
        <v>49</v>
      </c>
      <c r="D1023" t="s">
        <v>51</v>
      </c>
      <c r="E1023" t="s">
        <v>51</v>
      </c>
      <c r="F1023" t="s">
        <v>51</v>
      </c>
      <c r="G1023" t="s">
        <v>52</v>
      </c>
      <c r="H1023" t="s">
        <v>52</v>
      </c>
      <c r="I1023" t="s">
        <v>52</v>
      </c>
      <c r="J1023" t="s">
        <v>590</v>
      </c>
      <c r="K1023" t="s">
        <v>52</v>
      </c>
      <c r="L1023" t="s">
        <v>671</v>
      </c>
      <c r="M1023" t="s">
        <v>654</v>
      </c>
      <c r="N1023" t="s">
        <v>163</v>
      </c>
      <c r="O1023" t="s">
        <v>672</v>
      </c>
      <c r="P1023" t="s">
        <v>672</v>
      </c>
      <c r="Q1023" t="s">
        <v>51</v>
      </c>
      <c r="R1023" t="s">
        <v>51</v>
      </c>
      <c r="S1023" t="s">
        <v>51</v>
      </c>
      <c r="T1023" t="s">
        <v>51</v>
      </c>
    </row>
    <row r="1024" spans="1:20">
      <c r="A1024" t="s">
        <v>634</v>
      </c>
      <c r="B1024" t="s">
        <v>121</v>
      </c>
      <c r="C1024" t="s">
        <v>49</v>
      </c>
      <c r="D1024" t="s">
        <v>51</v>
      </c>
      <c r="E1024" t="s">
        <v>51</v>
      </c>
      <c r="F1024" t="s">
        <v>51</v>
      </c>
      <c r="G1024" t="s">
        <v>52</v>
      </c>
      <c r="H1024" t="s">
        <v>52</v>
      </c>
      <c r="I1024" t="s">
        <v>52</v>
      </c>
      <c r="J1024" t="s">
        <v>590</v>
      </c>
      <c r="K1024" t="s">
        <v>52</v>
      </c>
      <c r="L1024" t="s">
        <v>671</v>
      </c>
      <c r="M1024" t="s">
        <v>654</v>
      </c>
      <c r="N1024" t="s">
        <v>163</v>
      </c>
      <c r="O1024" t="s">
        <v>672</v>
      </c>
      <c r="P1024" t="s">
        <v>672</v>
      </c>
      <c r="Q1024" t="s">
        <v>51</v>
      </c>
      <c r="R1024" t="s">
        <v>51</v>
      </c>
      <c r="S1024" t="s">
        <v>51</v>
      </c>
      <c r="T1024" t="s">
        <v>51</v>
      </c>
    </row>
    <row r="1025" spans="1:20">
      <c r="A1025" t="s">
        <v>635</v>
      </c>
      <c r="B1025" t="s">
        <v>123</v>
      </c>
      <c r="C1025" t="s">
        <v>49</v>
      </c>
      <c r="D1025" t="s">
        <v>51</v>
      </c>
      <c r="E1025" t="s">
        <v>51</v>
      </c>
      <c r="F1025" t="s">
        <v>51</v>
      </c>
      <c r="G1025" t="s">
        <v>52</v>
      </c>
      <c r="H1025" t="s">
        <v>52</v>
      </c>
      <c r="I1025" t="s">
        <v>52</v>
      </c>
      <c r="J1025" t="s">
        <v>590</v>
      </c>
      <c r="K1025" t="s">
        <v>52</v>
      </c>
      <c r="L1025" t="s">
        <v>671</v>
      </c>
      <c r="M1025" t="s">
        <v>654</v>
      </c>
      <c r="N1025" t="s">
        <v>163</v>
      </c>
      <c r="O1025" t="s">
        <v>672</v>
      </c>
      <c r="P1025" t="s">
        <v>672</v>
      </c>
      <c r="Q1025" t="s">
        <v>51</v>
      </c>
      <c r="R1025" t="s">
        <v>51</v>
      </c>
      <c r="S1025" t="s">
        <v>51</v>
      </c>
      <c r="T1025" t="s">
        <v>51</v>
      </c>
    </row>
    <row r="1026" spans="1:20">
      <c r="A1026" t="s">
        <v>636</v>
      </c>
      <c r="B1026" t="s">
        <v>125</v>
      </c>
      <c r="C1026" t="s">
        <v>49</v>
      </c>
      <c r="D1026" t="s">
        <v>51</v>
      </c>
      <c r="E1026" t="s">
        <v>51</v>
      </c>
      <c r="F1026" t="s">
        <v>51</v>
      </c>
      <c r="G1026" t="s">
        <v>52</v>
      </c>
      <c r="H1026" t="s">
        <v>52</v>
      </c>
      <c r="I1026" t="s">
        <v>52</v>
      </c>
      <c r="J1026" t="s">
        <v>590</v>
      </c>
      <c r="K1026" t="s">
        <v>52</v>
      </c>
      <c r="L1026" t="s">
        <v>671</v>
      </c>
      <c r="M1026" t="s">
        <v>654</v>
      </c>
      <c r="N1026" t="s">
        <v>163</v>
      </c>
      <c r="O1026" t="s">
        <v>672</v>
      </c>
      <c r="P1026" t="s">
        <v>672</v>
      </c>
      <c r="Q1026" t="s">
        <v>51</v>
      </c>
      <c r="R1026" t="s">
        <v>51</v>
      </c>
      <c r="S1026" t="s">
        <v>51</v>
      </c>
      <c r="T1026" t="s">
        <v>51</v>
      </c>
    </row>
    <row r="1027" spans="1:20">
      <c r="A1027" t="s">
        <v>637</v>
      </c>
      <c r="B1027" t="s">
        <v>127</v>
      </c>
      <c r="C1027" t="s">
        <v>49</v>
      </c>
      <c r="D1027" t="s">
        <v>51</v>
      </c>
      <c r="E1027" t="s">
        <v>51</v>
      </c>
      <c r="F1027" t="s">
        <v>51</v>
      </c>
      <c r="G1027" t="s">
        <v>52</v>
      </c>
      <c r="H1027" t="s">
        <v>52</v>
      </c>
      <c r="I1027" t="s">
        <v>52</v>
      </c>
      <c r="J1027" t="s">
        <v>590</v>
      </c>
      <c r="K1027" t="s">
        <v>52</v>
      </c>
      <c r="L1027" t="s">
        <v>671</v>
      </c>
      <c r="M1027" t="s">
        <v>654</v>
      </c>
      <c r="N1027" t="s">
        <v>163</v>
      </c>
      <c r="O1027" t="s">
        <v>672</v>
      </c>
      <c r="P1027" t="s">
        <v>672</v>
      </c>
      <c r="Q1027" t="s">
        <v>51</v>
      </c>
      <c r="R1027" t="s">
        <v>51</v>
      </c>
      <c r="S1027" t="s">
        <v>51</v>
      </c>
      <c r="T1027" t="s">
        <v>51</v>
      </c>
    </row>
    <row r="1028" spans="1:20">
      <c r="A1028" t="s">
        <v>638</v>
      </c>
      <c r="B1028" t="s">
        <v>129</v>
      </c>
      <c r="C1028" t="s">
        <v>49</v>
      </c>
      <c r="D1028" t="s">
        <v>51</v>
      </c>
      <c r="E1028" t="s">
        <v>51</v>
      </c>
      <c r="F1028" t="s">
        <v>51</v>
      </c>
      <c r="G1028" t="s">
        <v>52</v>
      </c>
      <c r="H1028" t="s">
        <v>52</v>
      </c>
      <c r="I1028" t="s">
        <v>52</v>
      </c>
      <c r="J1028" t="s">
        <v>590</v>
      </c>
      <c r="K1028" t="s">
        <v>52</v>
      </c>
      <c r="L1028" t="s">
        <v>671</v>
      </c>
      <c r="M1028" t="s">
        <v>654</v>
      </c>
      <c r="N1028" t="s">
        <v>163</v>
      </c>
      <c r="O1028" t="s">
        <v>672</v>
      </c>
      <c r="P1028" t="s">
        <v>672</v>
      </c>
      <c r="Q1028" t="s">
        <v>51</v>
      </c>
      <c r="R1028" t="s">
        <v>51</v>
      </c>
      <c r="S1028" t="s">
        <v>51</v>
      </c>
      <c r="T1028" t="s">
        <v>51</v>
      </c>
    </row>
    <row r="1029" spans="1:20">
      <c r="A1029" t="s">
        <v>639</v>
      </c>
      <c r="B1029" t="s">
        <v>131</v>
      </c>
      <c r="C1029" t="s">
        <v>49</v>
      </c>
      <c r="D1029" t="s">
        <v>51</v>
      </c>
      <c r="E1029" t="s">
        <v>51</v>
      </c>
      <c r="F1029" t="s">
        <v>51</v>
      </c>
      <c r="G1029" t="s">
        <v>52</v>
      </c>
      <c r="H1029" t="s">
        <v>52</v>
      </c>
      <c r="I1029" t="s">
        <v>52</v>
      </c>
      <c r="J1029" t="s">
        <v>590</v>
      </c>
      <c r="K1029" t="s">
        <v>52</v>
      </c>
      <c r="L1029" t="s">
        <v>671</v>
      </c>
      <c r="M1029" t="s">
        <v>654</v>
      </c>
      <c r="N1029" t="s">
        <v>163</v>
      </c>
      <c r="O1029" t="s">
        <v>672</v>
      </c>
      <c r="P1029" t="s">
        <v>672</v>
      </c>
      <c r="Q1029" t="s">
        <v>51</v>
      </c>
      <c r="R1029" t="s">
        <v>51</v>
      </c>
      <c r="S1029" t="s">
        <v>51</v>
      </c>
      <c r="T1029" t="s">
        <v>51</v>
      </c>
    </row>
    <row r="1030" spans="1:20">
      <c r="A1030" t="s">
        <v>640</v>
      </c>
      <c r="B1030" t="s">
        <v>133</v>
      </c>
      <c r="C1030" t="s">
        <v>49</v>
      </c>
      <c r="D1030" t="s">
        <v>51</v>
      </c>
      <c r="E1030" t="s">
        <v>51</v>
      </c>
      <c r="F1030" t="s">
        <v>51</v>
      </c>
      <c r="G1030" t="s">
        <v>52</v>
      </c>
      <c r="H1030" t="s">
        <v>52</v>
      </c>
      <c r="I1030" t="s">
        <v>52</v>
      </c>
      <c r="J1030" t="s">
        <v>590</v>
      </c>
      <c r="K1030" t="s">
        <v>52</v>
      </c>
      <c r="L1030" t="s">
        <v>671</v>
      </c>
      <c r="M1030" t="s">
        <v>654</v>
      </c>
      <c r="N1030" t="s">
        <v>163</v>
      </c>
      <c r="O1030" t="s">
        <v>672</v>
      </c>
      <c r="P1030" t="s">
        <v>672</v>
      </c>
      <c r="Q1030" t="s">
        <v>51</v>
      </c>
      <c r="R1030" t="s">
        <v>51</v>
      </c>
      <c r="S1030" t="s">
        <v>51</v>
      </c>
      <c r="T1030" t="s">
        <v>51</v>
      </c>
    </row>
    <row r="1031" spans="1:20">
      <c r="A1031" t="s">
        <v>641</v>
      </c>
      <c r="B1031" t="s">
        <v>135</v>
      </c>
      <c r="C1031" t="s">
        <v>49</v>
      </c>
      <c r="D1031" t="s">
        <v>51</v>
      </c>
      <c r="E1031" t="s">
        <v>51</v>
      </c>
      <c r="F1031" t="s">
        <v>51</v>
      </c>
      <c r="G1031" t="s">
        <v>52</v>
      </c>
      <c r="H1031" t="s">
        <v>52</v>
      </c>
      <c r="I1031" t="s">
        <v>52</v>
      </c>
      <c r="J1031" t="s">
        <v>590</v>
      </c>
      <c r="K1031" t="s">
        <v>52</v>
      </c>
      <c r="L1031" t="s">
        <v>671</v>
      </c>
      <c r="M1031" t="s">
        <v>654</v>
      </c>
      <c r="N1031" t="s">
        <v>163</v>
      </c>
      <c r="O1031" t="s">
        <v>672</v>
      </c>
      <c r="P1031" t="s">
        <v>672</v>
      </c>
      <c r="Q1031" t="s">
        <v>51</v>
      </c>
      <c r="R1031" t="s">
        <v>51</v>
      </c>
      <c r="S1031" t="s">
        <v>51</v>
      </c>
      <c r="T1031" t="s">
        <v>51</v>
      </c>
    </row>
    <row r="1032" spans="1:20">
      <c r="A1032" t="s">
        <v>642</v>
      </c>
      <c r="B1032" t="s">
        <v>137</v>
      </c>
      <c r="C1032" t="s">
        <v>49</v>
      </c>
      <c r="D1032" t="s">
        <v>51</v>
      </c>
      <c r="E1032" t="s">
        <v>51</v>
      </c>
      <c r="F1032" t="s">
        <v>51</v>
      </c>
      <c r="G1032" t="s">
        <v>52</v>
      </c>
      <c r="H1032" t="s">
        <v>52</v>
      </c>
      <c r="I1032" t="s">
        <v>52</v>
      </c>
      <c r="J1032" t="s">
        <v>590</v>
      </c>
      <c r="K1032" t="s">
        <v>52</v>
      </c>
      <c r="L1032" t="s">
        <v>671</v>
      </c>
      <c r="M1032" t="s">
        <v>654</v>
      </c>
      <c r="N1032" t="s">
        <v>163</v>
      </c>
      <c r="O1032" t="s">
        <v>672</v>
      </c>
      <c r="P1032" t="s">
        <v>672</v>
      </c>
      <c r="Q1032" t="s">
        <v>51</v>
      </c>
      <c r="R1032" t="s">
        <v>51</v>
      </c>
      <c r="S1032" t="s">
        <v>51</v>
      </c>
      <c r="T1032" t="s">
        <v>51</v>
      </c>
    </row>
    <row r="1033" spans="1:20">
      <c r="A1033" t="s">
        <v>643</v>
      </c>
      <c r="B1033" t="s">
        <v>139</v>
      </c>
      <c r="C1033" t="s">
        <v>49</v>
      </c>
      <c r="D1033" t="s">
        <v>51</v>
      </c>
      <c r="E1033" t="s">
        <v>51</v>
      </c>
      <c r="F1033" t="s">
        <v>51</v>
      </c>
      <c r="G1033" t="s">
        <v>52</v>
      </c>
      <c r="H1033" t="s">
        <v>52</v>
      </c>
      <c r="I1033" t="s">
        <v>52</v>
      </c>
      <c r="J1033" t="s">
        <v>590</v>
      </c>
      <c r="K1033" t="s">
        <v>52</v>
      </c>
      <c r="L1033" t="s">
        <v>671</v>
      </c>
      <c r="M1033" t="s">
        <v>654</v>
      </c>
      <c r="N1033" t="s">
        <v>163</v>
      </c>
      <c r="O1033" t="s">
        <v>672</v>
      </c>
      <c r="P1033" t="s">
        <v>672</v>
      </c>
      <c r="Q1033" t="s">
        <v>51</v>
      </c>
      <c r="R1033" t="s">
        <v>51</v>
      </c>
      <c r="S1033" t="s">
        <v>51</v>
      </c>
      <c r="T1033" t="s">
        <v>51</v>
      </c>
    </row>
    <row r="1034" spans="1:20">
      <c r="A1034" t="s">
        <v>644</v>
      </c>
      <c r="B1034" t="s">
        <v>141</v>
      </c>
      <c r="C1034" t="s">
        <v>49</v>
      </c>
      <c r="D1034" t="s">
        <v>51</v>
      </c>
      <c r="E1034" t="s">
        <v>51</v>
      </c>
      <c r="F1034" t="s">
        <v>51</v>
      </c>
      <c r="G1034" t="s">
        <v>52</v>
      </c>
      <c r="H1034" t="s">
        <v>52</v>
      </c>
      <c r="I1034" t="s">
        <v>52</v>
      </c>
      <c r="J1034" t="s">
        <v>590</v>
      </c>
      <c r="K1034" t="s">
        <v>52</v>
      </c>
      <c r="L1034" t="s">
        <v>671</v>
      </c>
      <c r="M1034" t="s">
        <v>654</v>
      </c>
      <c r="N1034" t="s">
        <v>163</v>
      </c>
      <c r="O1034" t="s">
        <v>672</v>
      </c>
      <c r="P1034" t="s">
        <v>672</v>
      </c>
      <c r="Q1034" t="s">
        <v>51</v>
      </c>
      <c r="R1034" t="s">
        <v>51</v>
      </c>
      <c r="S1034" t="s">
        <v>51</v>
      </c>
      <c r="T1034" t="s">
        <v>51</v>
      </c>
    </row>
    <row r="1035" spans="1:20">
      <c r="A1035" t="s">
        <v>645</v>
      </c>
      <c r="B1035" t="s">
        <v>143</v>
      </c>
      <c r="C1035" t="s">
        <v>49</v>
      </c>
      <c r="D1035" t="s">
        <v>51</v>
      </c>
      <c r="E1035" t="s">
        <v>51</v>
      </c>
      <c r="F1035" t="s">
        <v>51</v>
      </c>
      <c r="G1035" t="s">
        <v>52</v>
      </c>
      <c r="H1035" t="s">
        <v>52</v>
      </c>
      <c r="I1035" t="s">
        <v>52</v>
      </c>
      <c r="J1035" t="s">
        <v>590</v>
      </c>
      <c r="K1035" t="s">
        <v>52</v>
      </c>
      <c r="L1035" t="s">
        <v>671</v>
      </c>
      <c r="M1035" t="s">
        <v>654</v>
      </c>
      <c r="N1035" t="s">
        <v>163</v>
      </c>
      <c r="O1035" t="s">
        <v>672</v>
      </c>
      <c r="P1035" t="s">
        <v>672</v>
      </c>
      <c r="Q1035" t="s">
        <v>51</v>
      </c>
      <c r="R1035" t="s">
        <v>51</v>
      </c>
      <c r="S1035" t="s">
        <v>51</v>
      </c>
      <c r="T1035" t="s">
        <v>51</v>
      </c>
    </row>
    <row r="1036" spans="1:20">
      <c r="A1036" t="s">
        <v>646</v>
      </c>
      <c r="B1036" t="s">
        <v>145</v>
      </c>
      <c r="C1036" t="s">
        <v>49</v>
      </c>
      <c r="D1036" t="s">
        <v>51</v>
      </c>
      <c r="E1036" t="s">
        <v>51</v>
      </c>
      <c r="F1036" t="s">
        <v>51</v>
      </c>
      <c r="G1036" t="s">
        <v>52</v>
      </c>
      <c r="H1036" t="s">
        <v>52</v>
      </c>
      <c r="I1036" t="s">
        <v>52</v>
      </c>
      <c r="J1036" t="s">
        <v>590</v>
      </c>
      <c r="K1036" t="s">
        <v>52</v>
      </c>
      <c r="L1036" t="s">
        <v>671</v>
      </c>
      <c r="M1036" t="s">
        <v>654</v>
      </c>
      <c r="N1036" t="s">
        <v>163</v>
      </c>
      <c r="O1036" t="s">
        <v>672</v>
      </c>
      <c r="P1036" t="s">
        <v>672</v>
      </c>
      <c r="Q1036" t="s">
        <v>51</v>
      </c>
      <c r="R1036" t="s">
        <v>51</v>
      </c>
      <c r="S1036" t="s">
        <v>51</v>
      </c>
      <c r="T1036" t="s">
        <v>51</v>
      </c>
    </row>
    <row r="1037" spans="1:20">
      <c r="A1037" t="s">
        <v>647</v>
      </c>
      <c r="B1037" t="s">
        <v>147</v>
      </c>
      <c r="C1037" t="s">
        <v>49</v>
      </c>
      <c r="D1037" t="s">
        <v>51</v>
      </c>
      <c r="E1037" t="s">
        <v>51</v>
      </c>
      <c r="F1037" t="s">
        <v>51</v>
      </c>
      <c r="G1037" t="s">
        <v>52</v>
      </c>
      <c r="H1037" t="s">
        <v>52</v>
      </c>
      <c r="I1037" t="s">
        <v>52</v>
      </c>
      <c r="J1037" t="s">
        <v>590</v>
      </c>
      <c r="K1037" t="s">
        <v>52</v>
      </c>
      <c r="L1037" t="s">
        <v>671</v>
      </c>
      <c r="M1037" t="s">
        <v>654</v>
      </c>
      <c r="N1037" t="s">
        <v>163</v>
      </c>
      <c r="O1037" t="s">
        <v>672</v>
      </c>
      <c r="P1037" t="s">
        <v>672</v>
      </c>
      <c r="Q1037" t="s">
        <v>51</v>
      </c>
      <c r="R1037" t="s">
        <v>51</v>
      </c>
      <c r="S1037" t="s">
        <v>51</v>
      </c>
      <c r="T1037" t="s">
        <v>51</v>
      </c>
    </row>
    <row r="1038" spans="1:20">
      <c r="A1038" t="s">
        <v>648</v>
      </c>
      <c r="B1038" t="s">
        <v>149</v>
      </c>
      <c r="C1038" t="s">
        <v>49</v>
      </c>
      <c r="D1038" t="s">
        <v>51</v>
      </c>
      <c r="E1038" t="s">
        <v>51</v>
      </c>
      <c r="F1038" t="s">
        <v>51</v>
      </c>
      <c r="G1038" t="s">
        <v>52</v>
      </c>
      <c r="H1038" t="s">
        <v>52</v>
      </c>
      <c r="I1038" t="s">
        <v>52</v>
      </c>
      <c r="J1038" t="s">
        <v>590</v>
      </c>
      <c r="K1038" t="s">
        <v>52</v>
      </c>
      <c r="L1038" t="s">
        <v>671</v>
      </c>
      <c r="M1038" t="s">
        <v>654</v>
      </c>
      <c r="N1038" t="s">
        <v>163</v>
      </c>
      <c r="O1038" t="s">
        <v>672</v>
      </c>
      <c r="P1038" t="s">
        <v>672</v>
      </c>
      <c r="Q1038" t="s">
        <v>51</v>
      </c>
      <c r="R1038" t="s">
        <v>51</v>
      </c>
      <c r="S1038" t="s">
        <v>51</v>
      </c>
      <c r="T1038" t="s">
        <v>51</v>
      </c>
    </row>
    <row r="1039" spans="1:20">
      <c r="A1039" t="s">
        <v>649</v>
      </c>
      <c r="B1039" t="s">
        <v>151</v>
      </c>
      <c r="C1039" t="s">
        <v>49</v>
      </c>
      <c r="D1039" t="s">
        <v>51</v>
      </c>
      <c r="E1039" t="s">
        <v>51</v>
      </c>
      <c r="F1039" t="s">
        <v>51</v>
      </c>
      <c r="G1039" t="s">
        <v>52</v>
      </c>
      <c r="H1039" t="s">
        <v>52</v>
      </c>
      <c r="I1039" t="s">
        <v>52</v>
      </c>
      <c r="J1039" t="s">
        <v>590</v>
      </c>
      <c r="K1039" t="s">
        <v>52</v>
      </c>
      <c r="L1039" t="s">
        <v>671</v>
      </c>
      <c r="M1039" t="s">
        <v>654</v>
      </c>
      <c r="N1039" t="s">
        <v>163</v>
      </c>
      <c r="O1039" t="s">
        <v>672</v>
      </c>
      <c r="P1039" t="s">
        <v>672</v>
      </c>
      <c r="Q1039" t="s">
        <v>51</v>
      </c>
      <c r="R1039" t="s">
        <v>51</v>
      </c>
      <c r="S1039" t="s">
        <v>51</v>
      </c>
      <c r="T1039" t="s">
        <v>51</v>
      </c>
    </row>
    <row r="1040" spans="1:20">
      <c r="A1040" t="s">
        <v>650</v>
      </c>
      <c r="B1040" t="s">
        <v>153</v>
      </c>
      <c r="C1040" t="s">
        <v>49</v>
      </c>
      <c r="D1040" t="s">
        <v>51</v>
      </c>
      <c r="E1040" t="s">
        <v>51</v>
      </c>
      <c r="F1040" t="s">
        <v>51</v>
      </c>
      <c r="G1040" t="s">
        <v>52</v>
      </c>
      <c r="H1040" t="s">
        <v>52</v>
      </c>
      <c r="I1040" t="s">
        <v>52</v>
      </c>
      <c r="J1040" t="s">
        <v>590</v>
      </c>
      <c r="K1040" t="s">
        <v>52</v>
      </c>
      <c r="L1040" t="s">
        <v>671</v>
      </c>
      <c r="M1040" t="s">
        <v>654</v>
      </c>
      <c r="N1040" t="s">
        <v>163</v>
      </c>
      <c r="O1040" t="s">
        <v>672</v>
      </c>
      <c r="P1040" t="s">
        <v>672</v>
      </c>
      <c r="Q1040" t="s">
        <v>51</v>
      </c>
      <c r="R1040" t="s">
        <v>51</v>
      </c>
      <c r="S1040" t="s">
        <v>51</v>
      </c>
      <c r="T1040" t="s">
        <v>51</v>
      </c>
    </row>
    <row r="1041" spans="1:20">
      <c r="A1041" t="s">
        <v>588</v>
      </c>
      <c r="B1041" t="s">
        <v>589</v>
      </c>
      <c r="C1041" t="s">
        <v>165</v>
      </c>
      <c r="D1041" t="s">
        <v>50</v>
      </c>
      <c r="E1041" t="s">
        <v>51</v>
      </c>
      <c r="F1041" t="s">
        <v>51</v>
      </c>
      <c r="G1041" t="s">
        <v>52</v>
      </c>
      <c r="H1041" t="s">
        <v>52</v>
      </c>
      <c r="I1041" t="s">
        <v>52</v>
      </c>
      <c r="J1041" t="s">
        <v>52</v>
      </c>
      <c r="K1041" t="s">
        <v>52</v>
      </c>
      <c r="L1041" t="s">
        <v>673</v>
      </c>
      <c r="M1041" t="s">
        <v>654</v>
      </c>
      <c r="N1041" t="s">
        <v>163</v>
      </c>
      <c r="O1041" t="s">
        <v>674</v>
      </c>
      <c r="P1041" t="s">
        <v>674</v>
      </c>
      <c r="Q1041" t="s">
        <v>51</v>
      </c>
      <c r="R1041" t="s">
        <v>51</v>
      </c>
      <c r="S1041" t="s">
        <v>51</v>
      </c>
      <c r="T1041" t="s">
        <v>51</v>
      </c>
    </row>
    <row r="1042" spans="1:20">
      <c r="A1042" t="s">
        <v>617</v>
      </c>
      <c r="B1042" t="s">
        <v>87</v>
      </c>
      <c r="C1042" t="s">
        <v>49</v>
      </c>
      <c r="D1042" t="s">
        <v>51</v>
      </c>
      <c r="E1042" t="s">
        <v>51</v>
      </c>
      <c r="F1042" t="s">
        <v>51</v>
      </c>
      <c r="G1042" t="s">
        <v>52</v>
      </c>
      <c r="H1042" t="s">
        <v>52</v>
      </c>
      <c r="I1042" t="s">
        <v>52</v>
      </c>
      <c r="J1042" t="s">
        <v>590</v>
      </c>
      <c r="K1042" t="s">
        <v>52</v>
      </c>
      <c r="L1042" t="s">
        <v>673</v>
      </c>
      <c r="M1042" t="s">
        <v>654</v>
      </c>
      <c r="N1042" t="s">
        <v>163</v>
      </c>
      <c r="O1042" t="s">
        <v>674</v>
      </c>
      <c r="P1042" t="s">
        <v>674</v>
      </c>
      <c r="Q1042" t="s">
        <v>51</v>
      </c>
      <c r="R1042" t="s">
        <v>51</v>
      </c>
      <c r="S1042" t="s">
        <v>51</v>
      </c>
      <c r="T1042" t="s">
        <v>51</v>
      </c>
    </row>
    <row r="1043" spans="1:20">
      <c r="A1043" t="s">
        <v>618</v>
      </c>
      <c r="B1043" t="s">
        <v>89</v>
      </c>
      <c r="C1043" t="s">
        <v>49</v>
      </c>
      <c r="D1043" t="s">
        <v>51</v>
      </c>
      <c r="E1043" t="s">
        <v>51</v>
      </c>
      <c r="F1043" t="s">
        <v>51</v>
      </c>
      <c r="G1043" t="s">
        <v>52</v>
      </c>
      <c r="H1043" t="s">
        <v>52</v>
      </c>
      <c r="I1043" t="s">
        <v>52</v>
      </c>
      <c r="J1043" t="s">
        <v>590</v>
      </c>
      <c r="K1043" t="s">
        <v>52</v>
      </c>
      <c r="L1043" t="s">
        <v>673</v>
      </c>
      <c r="M1043" t="s">
        <v>654</v>
      </c>
      <c r="N1043" t="s">
        <v>163</v>
      </c>
      <c r="O1043" t="s">
        <v>674</v>
      </c>
      <c r="P1043" t="s">
        <v>674</v>
      </c>
      <c r="Q1043" t="s">
        <v>51</v>
      </c>
      <c r="R1043" t="s">
        <v>51</v>
      </c>
      <c r="S1043" t="s">
        <v>51</v>
      </c>
      <c r="T1043" t="s">
        <v>51</v>
      </c>
    </row>
    <row r="1044" spans="1:20">
      <c r="A1044" t="s">
        <v>619</v>
      </c>
      <c r="B1044" t="s">
        <v>91</v>
      </c>
      <c r="C1044" t="s">
        <v>49</v>
      </c>
      <c r="D1044" t="s">
        <v>51</v>
      </c>
      <c r="E1044" t="s">
        <v>51</v>
      </c>
      <c r="F1044" t="s">
        <v>51</v>
      </c>
      <c r="G1044" t="s">
        <v>52</v>
      </c>
      <c r="H1044" t="s">
        <v>52</v>
      </c>
      <c r="I1044" t="s">
        <v>52</v>
      </c>
      <c r="J1044" t="s">
        <v>590</v>
      </c>
      <c r="K1044" t="s">
        <v>52</v>
      </c>
      <c r="L1044" t="s">
        <v>673</v>
      </c>
      <c r="M1044" t="s">
        <v>654</v>
      </c>
      <c r="N1044" t="s">
        <v>163</v>
      </c>
      <c r="O1044" t="s">
        <v>674</v>
      </c>
      <c r="P1044" t="s">
        <v>674</v>
      </c>
      <c r="Q1044" t="s">
        <v>51</v>
      </c>
      <c r="R1044" t="s">
        <v>51</v>
      </c>
      <c r="S1044" t="s">
        <v>51</v>
      </c>
      <c r="T1044" t="s">
        <v>51</v>
      </c>
    </row>
    <row r="1045" spans="1:20">
      <c r="A1045" t="s">
        <v>620</v>
      </c>
      <c r="B1045" t="s">
        <v>93</v>
      </c>
      <c r="C1045" t="s">
        <v>49</v>
      </c>
      <c r="D1045" t="s">
        <v>51</v>
      </c>
      <c r="E1045" t="s">
        <v>51</v>
      </c>
      <c r="F1045" t="s">
        <v>51</v>
      </c>
      <c r="G1045" t="s">
        <v>52</v>
      </c>
      <c r="H1045" t="s">
        <v>52</v>
      </c>
      <c r="I1045" t="s">
        <v>52</v>
      </c>
      <c r="J1045" t="s">
        <v>590</v>
      </c>
      <c r="K1045" t="s">
        <v>52</v>
      </c>
      <c r="L1045" t="s">
        <v>673</v>
      </c>
      <c r="M1045" t="s">
        <v>654</v>
      </c>
      <c r="N1045" t="s">
        <v>163</v>
      </c>
      <c r="O1045" t="s">
        <v>674</v>
      </c>
      <c r="P1045" t="s">
        <v>674</v>
      </c>
      <c r="Q1045" t="s">
        <v>51</v>
      </c>
      <c r="R1045" t="s">
        <v>51</v>
      </c>
      <c r="S1045" t="s">
        <v>51</v>
      </c>
      <c r="T1045" t="s">
        <v>51</v>
      </c>
    </row>
    <row r="1046" spans="1:20">
      <c r="A1046" t="s">
        <v>621</v>
      </c>
      <c r="B1046" t="s">
        <v>95</v>
      </c>
      <c r="C1046" t="s">
        <v>49</v>
      </c>
      <c r="D1046" t="s">
        <v>51</v>
      </c>
      <c r="E1046" t="s">
        <v>51</v>
      </c>
      <c r="F1046" t="s">
        <v>51</v>
      </c>
      <c r="G1046" t="s">
        <v>52</v>
      </c>
      <c r="H1046" t="s">
        <v>52</v>
      </c>
      <c r="I1046" t="s">
        <v>52</v>
      </c>
      <c r="J1046" t="s">
        <v>590</v>
      </c>
      <c r="K1046" t="s">
        <v>52</v>
      </c>
      <c r="L1046" t="s">
        <v>673</v>
      </c>
      <c r="M1046" t="s">
        <v>654</v>
      </c>
      <c r="N1046" t="s">
        <v>163</v>
      </c>
      <c r="O1046" t="s">
        <v>674</v>
      </c>
      <c r="P1046" t="s">
        <v>674</v>
      </c>
      <c r="Q1046" t="s">
        <v>51</v>
      </c>
      <c r="R1046" t="s">
        <v>51</v>
      </c>
      <c r="S1046" t="s">
        <v>51</v>
      </c>
      <c r="T1046" t="s">
        <v>51</v>
      </c>
    </row>
    <row r="1047" spans="1:20">
      <c r="A1047" t="s">
        <v>622</v>
      </c>
      <c r="B1047" t="s">
        <v>97</v>
      </c>
      <c r="C1047" t="s">
        <v>49</v>
      </c>
      <c r="D1047" t="s">
        <v>51</v>
      </c>
      <c r="E1047" t="s">
        <v>51</v>
      </c>
      <c r="F1047" t="s">
        <v>51</v>
      </c>
      <c r="G1047" t="s">
        <v>52</v>
      </c>
      <c r="H1047" t="s">
        <v>52</v>
      </c>
      <c r="I1047" t="s">
        <v>52</v>
      </c>
      <c r="J1047" t="s">
        <v>590</v>
      </c>
      <c r="K1047" t="s">
        <v>52</v>
      </c>
      <c r="L1047" t="s">
        <v>673</v>
      </c>
      <c r="M1047" t="s">
        <v>654</v>
      </c>
      <c r="N1047" t="s">
        <v>163</v>
      </c>
      <c r="O1047" t="s">
        <v>674</v>
      </c>
      <c r="P1047" t="s">
        <v>674</v>
      </c>
      <c r="Q1047" t="s">
        <v>51</v>
      </c>
      <c r="R1047" t="s">
        <v>51</v>
      </c>
      <c r="S1047" t="s">
        <v>51</v>
      </c>
      <c r="T1047" t="s">
        <v>51</v>
      </c>
    </row>
    <row r="1048" spans="1:20">
      <c r="A1048" t="s">
        <v>623</v>
      </c>
      <c r="B1048" t="s">
        <v>99</v>
      </c>
      <c r="C1048" t="s">
        <v>49</v>
      </c>
      <c r="D1048" t="s">
        <v>51</v>
      </c>
      <c r="E1048" t="s">
        <v>51</v>
      </c>
      <c r="F1048" t="s">
        <v>51</v>
      </c>
      <c r="G1048" t="s">
        <v>52</v>
      </c>
      <c r="H1048" t="s">
        <v>52</v>
      </c>
      <c r="I1048" t="s">
        <v>52</v>
      </c>
      <c r="J1048" t="s">
        <v>590</v>
      </c>
      <c r="K1048" t="s">
        <v>52</v>
      </c>
      <c r="L1048" t="s">
        <v>673</v>
      </c>
      <c r="M1048" t="s">
        <v>654</v>
      </c>
      <c r="N1048" t="s">
        <v>163</v>
      </c>
      <c r="O1048" t="s">
        <v>674</v>
      </c>
      <c r="P1048" t="s">
        <v>674</v>
      </c>
      <c r="Q1048" t="s">
        <v>51</v>
      </c>
      <c r="R1048" t="s">
        <v>51</v>
      </c>
      <c r="S1048" t="s">
        <v>51</v>
      </c>
      <c r="T1048" t="s">
        <v>51</v>
      </c>
    </row>
    <row r="1049" spans="1:20">
      <c r="A1049" t="s">
        <v>624</v>
      </c>
      <c r="B1049" t="s">
        <v>101</v>
      </c>
      <c r="C1049" t="s">
        <v>49</v>
      </c>
      <c r="D1049" t="s">
        <v>51</v>
      </c>
      <c r="E1049" t="s">
        <v>51</v>
      </c>
      <c r="F1049" t="s">
        <v>51</v>
      </c>
      <c r="G1049" t="s">
        <v>52</v>
      </c>
      <c r="H1049" t="s">
        <v>52</v>
      </c>
      <c r="I1049" t="s">
        <v>52</v>
      </c>
      <c r="J1049" t="s">
        <v>590</v>
      </c>
      <c r="K1049" t="s">
        <v>52</v>
      </c>
      <c r="L1049" t="s">
        <v>673</v>
      </c>
      <c r="M1049" t="s">
        <v>654</v>
      </c>
      <c r="N1049" t="s">
        <v>163</v>
      </c>
      <c r="O1049" t="s">
        <v>674</v>
      </c>
      <c r="P1049" t="s">
        <v>674</v>
      </c>
      <c r="Q1049" t="s">
        <v>51</v>
      </c>
      <c r="R1049" t="s">
        <v>51</v>
      </c>
      <c r="S1049" t="s">
        <v>51</v>
      </c>
      <c r="T1049" t="s">
        <v>51</v>
      </c>
    </row>
    <row r="1050" spans="1:20">
      <c r="A1050" t="s">
        <v>625</v>
      </c>
      <c r="B1050" t="s">
        <v>103</v>
      </c>
      <c r="C1050" t="s">
        <v>49</v>
      </c>
      <c r="D1050" t="s">
        <v>51</v>
      </c>
      <c r="E1050" t="s">
        <v>51</v>
      </c>
      <c r="F1050" t="s">
        <v>51</v>
      </c>
      <c r="G1050" t="s">
        <v>52</v>
      </c>
      <c r="H1050" t="s">
        <v>52</v>
      </c>
      <c r="I1050" t="s">
        <v>52</v>
      </c>
      <c r="J1050" t="s">
        <v>590</v>
      </c>
      <c r="K1050" t="s">
        <v>52</v>
      </c>
      <c r="L1050" t="s">
        <v>673</v>
      </c>
      <c r="M1050" t="s">
        <v>654</v>
      </c>
      <c r="N1050" t="s">
        <v>163</v>
      </c>
      <c r="O1050" t="s">
        <v>674</v>
      </c>
      <c r="P1050" t="s">
        <v>674</v>
      </c>
      <c r="Q1050" t="s">
        <v>51</v>
      </c>
      <c r="R1050" t="s">
        <v>51</v>
      </c>
      <c r="S1050" t="s">
        <v>51</v>
      </c>
      <c r="T1050" t="s">
        <v>51</v>
      </c>
    </row>
    <row r="1051" spans="1:20">
      <c r="A1051" t="s">
        <v>626</v>
      </c>
      <c r="B1051" t="s">
        <v>105</v>
      </c>
      <c r="C1051" t="s">
        <v>49</v>
      </c>
      <c r="D1051" t="s">
        <v>51</v>
      </c>
      <c r="E1051" t="s">
        <v>51</v>
      </c>
      <c r="F1051" t="s">
        <v>51</v>
      </c>
      <c r="G1051" t="s">
        <v>52</v>
      </c>
      <c r="H1051" t="s">
        <v>52</v>
      </c>
      <c r="I1051" t="s">
        <v>52</v>
      </c>
      <c r="J1051" t="s">
        <v>590</v>
      </c>
      <c r="K1051" t="s">
        <v>52</v>
      </c>
      <c r="L1051" t="s">
        <v>673</v>
      </c>
      <c r="M1051" t="s">
        <v>654</v>
      </c>
      <c r="N1051" t="s">
        <v>163</v>
      </c>
      <c r="O1051" t="s">
        <v>674</v>
      </c>
      <c r="P1051" t="s">
        <v>674</v>
      </c>
      <c r="Q1051" t="s">
        <v>51</v>
      </c>
      <c r="R1051" t="s">
        <v>51</v>
      </c>
      <c r="S1051" t="s">
        <v>51</v>
      </c>
      <c r="T1051" t="s">
        <v>51</v>
      </c>
    </row>
    <row r="1052" spans="1:20">
      <c r="A1052" t="s">
        <v>627</v>
      </c>
      <c r="B1052" t="s">
        <v>107</v>
      </c>
      <c r="C1052" t="s">
        <v>49</v>
      </c>
      <c r="D1052" t="s">
        <v>51</v>
      </c>
      <c r="E1052" t="s">
        <v>51</v>
      </c>
      <c r="F1052" t="s">
        <v>51</v>
      </c>
      <c r="G1052" t="s">
        <v>52</v>
      </c>
      <c r="H1052" t="s">
        <v>52</v>
      </c>
      <c r="I1052" t="s">
        <v>52</v>
      </c>
      <c r="J1052" t="s">
        <v>590</v>
      </c>
      <c r="K1052" t="s">
        <v>52</v>
      </c>
      <c r="L1052" t="s">
        <v>673</v>
      </c>
      <c r="M1052" t="s">
        <v>654</v>
      </c>
      <c r="N1052" t="s">
        <v>163</v>
      </c>
      <c r="O1052" t="s">
        <v>674</v>
      </c>
      <c r="P1052" t="s">
        <v>674</v>
      </c>
      <c r="Q1052" t="s">
        <v>51</v>
      </c>
      <c r="R1052" t="s">
        <v>51</v>
      </c>
      <c r="S1052" t="s">
        <v>51</v>
      </c>
      <c r="T1052" t="s">
        <v>51</v>
      </c>
    </row>
    <row r="1053" spans="1:20">
      <c r="A1053" t="s">
        <v>628</v>
      </c>
      <c r="B1053" t="s">
        <v>109</v>
      </c>
      <c r="C1053" t="s">
        <v>49</v>
      </c>
      <c r="D1053" t="s">
        <v>51</v>
      </c>
      <c r="E1053" t="s">
        <v>51</v>
      </c>
      <c r="F1053" t="s">
        <v>51</v>
      </c>
      <c r="G1053" t="s">
        <v>52</v>
      </c>
      <c r="H1053" t="s">
        <v>52</v>
      </c>
      <c r="I1053" t="s">
        <v>52</v>
      </c>
      <c r="J1053" t="s">
        <v>590</v>
      </c>
      <c r="K1053" t="s">
        <v>52</v>
      </c>
      <c r="L1053" t="s">
        <v>673</v>
      </c>
      <c r="M1053" t="s">
        <v>654</v>
      </c>
      <c r="N1053" t="s">
        <v>163</v>
      </c>
      <c r="O1053" t="s">
        <v>674</v>
      </c>
      <c r="P1053" t="s">
        <v>674</v>
      </c>
      <c r="Q1053" t="s">
        <v>51</v>
      </c>
      <c r="R1053" t="s">
        <v>51</v>
      </c>
      <c r="S1053" t="s">
        <v>51</v>
      </c>
      <c r="T1053" t="s">
        <v>51</v>
      </c>
    </row>
    <row r="1054" spans="1:20">
      <c r="A1054" t="s">
        <v>629</v>
      </c>
      <c r="B1054" t="s">
        <v>111</v>
      </c>
      <c r="C1054" t="s">
        <v>49</v>
      </c>
      <c r="D1054" t="s">
        <v>51</v>
      </c>
      <c r="E1054" t="s">
        <v>51</v>
      </c>
      <c r="F1054" t="s">
        <v>51</v>
      </c>
      <c r="G1054" t="s">
        <v>52</v>
      </c>
      <c r="H1054" t="s">
        <v>52</v>
      </c>
      <c r="I1054" t="s">
        <v>52</v>
      </c>
      <c r="J1054" t="s">
        <v>590</v>
      </c>
      <c r="K1054" t="s">
        <v>52</v>
      </c>
      <c r="L1054" t="s">
        <v>673</v>
      </c>
      <c r="M1054" t="s">
        <v>654</v>
      </c>
      <c r="N1054" t="s">
        <v>163</v>
      </c>
      <c r="O1054" t="s">
        <v>674</v>
      </c>
      <c r="P1054" t="s">
        <v>674</v>
      </c>
      <c r="Q1054" t="s">
        <v>51</v>
      </c>
      <c r="R1054" t="s">
        <v>51</v>
      </c>
      <c r="S1054" t="s">
        <v>51</v>
      </c>
      <c r="T1054" t="s">
        <v>51</v>
      </c>
    </row>
    <row r="1055" spans="1:20">
      <c r="A1055" t="s">
        <v>630</v>
      </c>
      <c r="B1055" t="s">
        <v>113</v>
      </c>
      <c r="C1055" t="s">
        <v>49</v>
      </c>
      <c r="D1055" t="s">
        <v>51</v>
      </c>
      <c r="E1055" t="s">
        <v>51</v>
      </c>
      <c r="F1055" t="s">
        <v>51</v>
      </c>
      <c r="G1055" t="s">
        <v>52</v>
      </c>
      <c r="H1055" t="s">
        <v>52</v>
      </c>
      <c r="I1055" t="s">
        <v>52</v>
      </c>
      <c r="J1055" t="s">
        <v>590</v>
      </c>
      <c r="K1055" t="s">
        <v>52</v>
      </c>
      <c r="L1055" t="s">
        <v>673</v>
      </c>
      <c r="M1055" t="s">
        <v>654</v>
      </c>
      <c r="N1055" t="s">
        <v>163</v>
      </c>
      <c r="O1055" t="s">
        <v>674</v>
      </c>
      <c r="P1055" t="s">
        <v>674</v>
      </c>
      <c r="Q1055" t="s">
        <v>51</v>
      </c>
      <c r="R1055" t="s">
        <v>51</v>
      </c>
      <c r="S1055" t="s">
        <v>51</v>
      </c>
      <c r="T1055" t="s">
        <v>51</v>
      </c>
    </row>
    <row r="1056" spans="1:20">
      <c r="A1056" t="s">
        <v>631</v>
      </c>
      <c r="B1056" t="s">
        <v>115</v>
      </c>
      <c r="C1056" t="s">
        <v>49</v>
      </c>
      <c r="D1056" t="s">
        <v>51</v>
      </c>
      <c r="E1056" t="s">
        <v>51</v>
      </c>
      <c r="F1056" t="s">
        <v>51</v>
      </c>
      <c r="G1056" t="s">
        <v>52</v>
      </c>
      <c r="H1056" t="s">
        <v>52</v>
      </c>
      <c r="I1056" t="s">
        <v>52</v>
      </c>
      <c r="J1056" t="s">
        <v>590</v>
      </c>
      <c r="K1056" t="s">
        <v>52</v>
      </c>
      <c r="L1056" t="s">
        <v>673</v>
      </c>
      <c r="M1056" t="s">
        <v>654</v>
      </c>
      <c r="N1056" t="s">
        <v>163</v>
      </c>
      <c r="O1056" t="s">
        <v>674</v>
      </c>
      <c r="P1056" t="s">
        <v>674</v>
      </c>
      <c r="Q1056" t="s">
        <v>51</v>
      </c>
      <c r="R1056" t="s">
        <v>51</v>
      </c>
      <c r="S1056" t="s">
        <v>51</v>
      </c>
      <c r="T1056" t="s">
        <v>51</v>
      </c>
    </row>
    <row r="1057" spans="1:20">
      <c r="A1057" t="s">
        <v>632</v>
      </c>
      <c r="B1057" t="s">
        <v>117</v>
      </c>
      <c r="C1057" t="s">
        <v>49</v>
      </c>
      <c r="D1057" t="s">
        <v>51</v>
      </c>
      <c r="E1057" t="s">
        <v>51</v>
      </c>
      <c r="F1057" t="s">
        <v>51</v>
      </c>
      <c r="G1057" t="s">
        <v>52</v>
      </c>
      <c r="H1057" t="s">
        <v>52</v>
      </c>
      <c r="I1057" t="s">
        <v>52</v>
      </c>
      <c r="J1057" t="s">
        <v>590</v>
      </c>
      <c r="K1057" t="s">
        <v>52</v>
      </c>
      <c r="L1057" t="s">
        <v>673</v>
      </c>
      <c r="M1057" t="s">
        <v>654</v>
      </c>
      <c r="N1057" t="s">
        <v>163</v>
      </c>
      <c r="O1057" t="s">
        <v>674</v>
      </c>
      <c r="P1057" t="s">
        <v>674</v>
      </c>
      <c r="Q1057" t="s">
        <v>51</v>
      </c>
      <c r="R1057" t="s">
        <v>51</v>
      </c>
      <c r="S1057" t="s">
        <v>51</v>
      </c>
      <c r="T1057" t="s">
        <v>51</v>
      </c>
    </row>
    <row r="1058" spans="1:20">
      <c r="A1058" t="s">
        <v>633</v>
      </c>
      <c r="B1058" t="s">
        <v>119</v>
      </c>
      <c r="C1058" t="s">
        <v>49</v>
      </c>
      <c r="D1058" t="s">
        <v>51</v>
      </c>
      <c r="E1058" t="s">
        <v>51</v>
      </c>
      <c r="F1058" t="s">
        <v>51</v>
      </c>
      <c r="G1058" t="s">
        <v>52</v>
      </c>
      <c r="H1058" t="s">
        <v>52</v>
      </c>
      <c r="I1058" t="s">
        <v>52</v>
      </c>
      <c r="J1058" t="s">
        <v>590</v>
      </c>
      <c r="K1058" t="s">
        <v>52</v>
      </c>
      <c r="L1058" t="s">
        <v>673</v>
      </c>
      <c r="M1058" t="s">
        <v>654</v>
      </c>
      <c r="N1058" t="s">
        <v>163</v>
      </c>
      <c r="O1058" t="s">
        <v>674</v>
      </c>
      <c r="P1058" t="s">
        <v>674</v>
      </c>
      <c r="Q1058" t="s">
        <v>51</v>
      </c>
      <c r="R1058" t="s">
        <v>51</v>
      </c>
      <c r="S1058" t="s">
        <v>51</v>
      </c>
      <c r="T1058" t="s">
        <v>51</v>
      </c>
    </row>
    <row r="1059" spans="1:20">
      <c r="A1059" t="s">
        <v>634</v>
      </c>
      <c r="B1059" t="s">
        <v>121</v>
      </c>
      <c r="C1059" t="s">
        <v>49</v>
      </c>
      <c r="D1059" t="s">
        <v>51</v>
      </c>
      <c r="E1059" t="s">
        <v>51</v>
      </c>
      <c r="F1059" t="s">
        <v>51</v>
      </c>
      <c r="G1059" t="s">
        <v>52</v>
      </c>
      <c r="H1059" t="s">
        <v>52</v>
      </c>
      <c r="I1059" t="s">
        <v>52</v>
      </c>
      <c r="J1059" t="s">
        <v>590</v>
      </c>
      <c r="K1059" t="s">
        <v>52</v>
      </c>
      <c r="L1059" t="s">
        <v>673</v>
      </c>
      <c r="M1059" t="s">
        <v>654</v>
      </c>
      <c r="N1059" t="s">
        <v>163</v>
      </c>
      <c r="O1059" t="s">
        <v>674</v>
      </c>
      <c r="P1059" t="s">
        <v>674</v>
      </c>
      <c r="Q1059" t="s">
        <v>51</v>
      </c>
      <c r="R1059" t="s">
        <v>51</v>
      </c>
      <c r="S1059" t="s">
        <v>51</v>
      </c>
      <c r="T1059" t="s">
        <v>51</v>
      </c>
    </row>
    <row r="1060" spans="1:20">
      <c r="A1060" t="s">
        <v>635</v>
      </c>
      <c r="B1060" t="s">
        <v>123</v>
      </c>
      <c r="C1060" t="s">
        <v>49</v>
      </c>
      <c r="D1060" t="s">
        <v>51</v>
      </c>
      <c r="E1060" t="s">
        <v>51</v>
      </c>
      <c r="F1060" t="s">
        <v>51</v>
      </c>
      <c r="G1060" t="s">
        <v>52</v>
      </c>
      <c r="H1060" t="s">
        <v>52</v>
      </c>
      <c r="I1060" t="s">
        <v>52</v>
      </c>
      <c r="J1060" t="s">
        <v>590</v>
      </c>
      <c r="K1060" t="s">
        <v>52</v>
      </c>
      <c r="L1060" t="s">
        <v>673</v>
      </c>
      <c r="M1060" t="s">
        <v>654</v>
      </c>
      <c r="N1060" t="s">
        <v>163</v>
      </c>
      <c r="O1060" t="s">
        <v>674</v>
      </c>
      <c r="P1060" t="s">
        <v>674</v>
      </c>
      <c r="Q1060" t="s">
        <v>51</v>
      </c>
      <c r="R1060" t="s">
        <v>51</v>
      </c>
      <c r="S1060" t="s">
        <v>51</v>
      </c>
      <c r="T1060" t="s">
        <v>51</v>
      </c>
    </row>
    <row r="1061" spans="1:20">
      <c r="A1061" t="s">
        <v>636</v>
      </c>
      <c r="B1061" t="s">
        <v>125</v>
      </c>
      <c r="C1061" t="s">
        <v>49</v>
      </c>
      <c r="D1061" t="s">
        <v>51</v>
      </c>
      <c r="E1061" t="s">
        <v>51</v>
      </c>
      <c r="F1061" t="s">
        <v>51</v>
      </c>
      <c r="G1061" t="s">
        <v>52</v>
      </c>
      <c r="H1061" t="s">
        <v>52</v>
      </c>
      <c r="I1061" t="s">
        <v>52</v>
      </c>
      <c r="J1061" t="s">
        <v>590</v>
      </c>
      <c r="K1061" t="s">
        <v>52</v>
      </c>
      <c r="L1061" t="s">
        <v>673</v>
      </c>
      <c r="M1061" t="s">
        <v>654</v>
      </c>
      <c r="N1061" t="s">
        <v>163</v>
      </c>
      <c r="O1061" t="s">
        <v>674</v>
      </c>
      <c r="P1061" t="s">
        <v>674</v>
      </c>
      <c r="Q1061" t="s">
        <v>51</v>
      </c>
      <c r="R1061" t="s">
        <v>51</v>
      </c>
      <c r="S1061" t="s">
        <v>51</v>
      </c>
      <c r="T1061" t="s">
        <v>51</v>
      </c>
    </row>
    <row r="1062" spans="1:20">
      <c r="A1062" t="s">
        <v>637</v>
      </c>
      <c r="B1062" t="s">
        <v>127</v>
      </c>
      <c r="C1062" t="s">
        <v>49</v>
      </c>
      <c r="D1062" t="s">
        <v>51</v>
      </c>
      <c r="E1062" t="s">
        <v>51</v>
      </c>
      <c r="F1062" t="s">
        <v>51</v>
      </c>
      <c r="G1062" t="s">
        <v>52</v>
      </c>
      <c r="H1062" t="s">
        <v>52</v>
      </c>
      <c r="I1062" t="s">
        <v>52</v>
      </c>
      <c r="J1062" t="s">
        <v>590</v>
      </c>
      <c r="K1062" t="s">
        <v>52</v>
      </c>
      <c r="L1062" t="s">
        <v>673</v>
      </c>
      <c r="M1062" t="s">
        <v>654</v>
      </c>
      <c r="N1062" t="s">
        <v>163</v>
      </c>
      <c r="O1062" t="s">
        <v>674</v>
      </c>
      <c r="P1062" t="s">
        <v>674</v>
      </c>
      <c r="Q1062" t="s">
        <v>51</v>
      </c>
      <c r="R1062" t="s">
        <v>51</v>
      </c>
      <c r="S1062" t="s">
        <v>51</v>
      </c>
      <c r="T1062" t="s">
        <v>51</v>
      </c>
    </row>
    <row r="1063" spans="1:20">
      <c r="A1063" t="s">
        <v>638</v>
      </c>
      <c r="B1063" t="s">
        <v>129</v>
      </c>
      <c r="C1063" t="s">
        <v>49</v>
      </c>
      <c r="D1063" t="s">
        <v>51</v>
      </c>
      <c r="E1063" t="s">
        <v>51</v>
      </c>
      <c r="F1063" t="s">
        <v>51</v>
      </c>
      <c r="G1063" t="s">
        <v>52</v>
      </c>
      <c r="H1063" t="s">
        <v>52</v>
      </c>
      <c r="I1063" t="s">
        <v>52</v>
      </c>
      <c r="J1063" t="s">
        <v>590</v>
      </c>
      <c r="K1063" t="s">
        <v>52</v>
      </c>
      <c r="L1063" t="s">
        <v>673</v>
      </c>
      <c r="M1063" t="s">
        <v>654</v>
      </c>
      <c r="N1063" t="s">
        <v>163</v>
      </c>
      <c r="O1063" t="s">
        <v>674</v>
      </c>
      <c r="P1063" t="s">
        <v>674</v>
      </c>
      <c r="Q1063" t="s">
        <v>51</v>
      </c>
      <c r="R1063" t="s">
        <v>51</v>
      </c>
      <c r="S1063" t="s">
        <v>51</v>
      </c>
      <c r="T1063" t="s">
        <v>51</v>
      </c>
    </row>
    <row r="1064" spans="1:20">
      <c r="A1064" t="s">
        <v>639</v>
      </c>
      <c r="B1064" t="s">
        <v>131</v>
      </c>
      <c r="C1064" t="s">
        <v>49</v>
      </c>
      <c r="D1064" t="s">
        <v>51</v>
      </c>
      <c r="E1064" t="s">
        <v>51</v>
      </c>
      <c r="F1064" t="s">
        <v>51</v>
      </c>
      <c r="G1064" t="s">
        <v>52</v>
      </c>
      <c r="H1064" t="s">
        <v>52</v>
      </c>
      <c r="I1064" t="s">
        <v>52</v>
      </c>
      <c r="J1064" t="s">
        <v>590</v>
      </c>
      <c r="K1064" t="s">
        <v>52</v>
      </c>
      <c r="L1064" t="s">
        <v>673</v>
      </c>
      <c r="M1064" t="s">
        <v>654</v>
      </c>
      <c r="N1064" t="s">
        <v>163</v>
      </c>
      <c r="O1064" t="s">
        <v>674</v>
      </c>
      <c r="P1064" t="s">
        <v>674</v>
      </c>
      <c r="Q1064" t="s">
        <v>51</v>
      </c>
      <c r="R1064" t="s">
        <v>51</v>
      </c>
      <c r="S1064" t="s">
        <v>51</v>
      </c>
      <c r="T1064" t="s">
        <v>51</v>
      </c>
    </row>
    <row r="1065" spans="1:20">
      <c r="A1065" t="s">
        <v>640</v>
      </c>
      <c r="B1065" t="s">
        <v>133</v>
      </c>
      <c r="C1065" t="s">
        <v>49</v>
      </c>
      <c r="D1065" t="s">
        <v>51</v>
      </c>
      <c r="E1065" t="s">
        <v>51</v>
      </c>
      <c r="F1065" t="s">
        <v>51</v>
      </c>
      <c r="G1065" t="s">
        <v>52</v>
      </c>
      <c r="H1065" t="s">
        <v>52</v>
      </c>
      <c r="I1065" t="s">
        <v>52</v>
      </c>
      <c r="J1065" t="s">
        <v>590</v>
      </c>
      <c r="K1065" t="s">
        <v>52</v>
      </c>
      <c r="L1065" t="s">
        <v>673</v>
      </c>
      <c r="M1065" t="s">
        <v>654</v>
      </c>
      <c r="N1065" t="s">
        <v>163</v>
      </c>
      <c r="O1065" t="s">
        <v>674</v>
      </c>
      <c r="P1065" t="s">
        <v>674</v>
      </c>
      <c r="Q1065" t="s">
        <v>51</v>
      </c>
      <c r="R1065" t="s">
        <v>51</v>
      </c>
      <c r="S1065" t="s">
        <v>51</v>
      </c>
      <c r="T1065" t="s">
        <v>51</v>
      </c>
    </row>
    <row r="1066" spans="1:20">
      <c r="A1066" t="s">
        <v>641</v>
      </c>
      <c r="B1066" t="s">
        <v>135</v>
      </c>
      <c r="C1066" t="s">
        <v>49</v>
      </c>
      <c r="D1066" t="s">
        <v>51</v>
      </c>
      <c r="E1066" t="s">
        <v>51</v>
      </c>
      <c r="F1066" t="s">
        <v>51</v>
      </c>
      <c r="G1066" t="s">
        <v>52</v>
      </c>
      <c r="H1066" t="s">
        <v>52</v>
      </c>
      <c r="I1066" t="s">
        <v>52</v>
      </c>
      <c r="J1066" t="s">
        <v>590</v>
      </c>
      <c r="K1066" t="s">
        <v>52</v>
      </c>
      <c r="L1066" t="s">
        <v>673</v>
      </c>
      <c r="M1066" t="s">
        <v>654</v>
      </c>
      <c r="N1066" t="s">
        <v>163</v>
      </c>
      <c r="O1066" t="s">
        <v>674</v>
      </c>
      <c r="P1066" t="s">
        <v>674</v>
      </c>
      <c r="Q1066" t="s">
        <v>51</v>
      </c>
      <c r="R1066" t="s">
        <v>51</v>
      </c>
      <c r="S1066" t="s">
        <v>51</v>
      </c>
      <c r="T1066" t="s">
        <v>51</v>
      </c>
    </row>
    <row r="1067" spans="1:20">
      <c r="A1067" t="s">
        <v>642</v>
      </c>
      <c r="B1067" t="s">
        <v>137</v>
      </c>
      <c r="C1067" t="s">
        <v>49</v>
      </c>
      <c r="D1067" t="s">
        <v>51</v>
      </c>
      <c r="E1067" t="s">
        <v>51</v>
      </c>
      <c r="F1067" t="s">
        <v>51</v>
      </c>
      <c r="G1067" t="s">
        <v>52</v>
      </c>
      <c r="H1067" t="s">
        <v>52</v>
      </c>
      <c r="I1067" t="s">
        <v>52</v>
      </c>
      <c r="J1067" t="s">
        <v>590</v>
      </c>
      <c r="K1067" t="s">
        <v>52</v>
      </c>
      <c r="L1067" t="s">
        <v>673</v>
      </c>
      <c r="M1067" t="s">
        <v>654</v>
      </c>
      <c r="N1067" t="s">
        <v>163</v>
      </c>
      <c r="O1067" t="s">
        <v>674</v>
      </c>
      <c r="P1067" t="s">
        <v>674</v>
      </c>
      <c r="Q1067" t="s">
        <v>51</v>
      </c>
      <c r="R1067" t="s">
        <v>51</v>
      </c>
      <c r="S1067" t="s">
        <v>51</v>
      </c>
      <c r="T1067" t="s">
        <v>51</v>
      </c>
    </row>
    <row r="1068" spans="1:20">
      <c r="A1068" t="s">
        <v>643</v>
      </c>
      <c r="B1068" t="s">
        <v>139</v>
      </c>
      <c r="C1068" t="s">
        <v>49</v>
      </c>
      <c r="D1068" t="s">
        <v>51</v>
      </c>
      <c r="E1068" t="s">
        <v>51</v>
      </c>
      <c r="F1068" t="s">
        <v>51</v>
      </c>
      <c r="G1068" t="s">
        <v>52</v>
      </c>
      <c r="H1068" t="s">
        <v>52</v>
      </c>
      <c r="I1068" t="s">
        <v>52</v>
      </c>
      <c r="J1068" t="s">
        <v>590</v>
      </c>
      <c r="K1068" t="s">
        <v>52</v>
      </c>
      <c r="L1068" t="s">
        <v>673</v>
      </c>
      <c r="M1068" t="s">
        <v>654</v>
      </c>
      <c r="N1068" t="s">
        <v>163</v>
      </c>
      <c r="O1068" t="s">
        <v>674</v>
      </c>
      <c r="P1068" t="s">
        <v>674</v>
      </c>
      <c r="Q1068" t="s">
        <v>51</v>
      </c>
      <c r="R1068" t="s">
        <v>51</v>
      </c>
      <c r="S1068" t="s">
        <v>51</v>
      </c>
      <c r="T1068" t="s">
        <v>51</v>
      </c>
    </row>
    <row r="1069" spans="1:20">
      <c r="A1069" t="s">
        <v>644</v>
      </c>
      <c r="B1069" t="s">
        <v>141</v>
      </c>
      <c r="C1069" t="s">
        <v>49</v>
      </c>
      <c r="D1069" t="s">
        <v>51</v>
      </c>
      <c r="E1069" t="s">
        <v>51</v>
      </c>
      <c r="F1069" t="s">
        <v>51</v>
      </c>
      <c r="G1069" t="s">
        <v>52</v>
      </c>
      <c r="H1069" t="s">
        <v>52</v>
      </c>
      <c r="I1069" t="s">
        <v>52</v>
      </c>
      <c r="J1069" t="s">
        <v>590</v>
      </c>
      <c r="K1069" t="s">
        <v>52</v>
      </c>
      <c r="L1069" t="s">
        <v>673</v>
      </c>
      <c r="M1069" t="s">
        <v>654</v>
      </c>
      <c r="N1069" t="s">
        <v>163</v>
      </c>
      <c r="O1069" t="s">
        <v>674</v>
      </c>
      <c r="P1069" t="s">
        <v>674</v>
      </c>
      <c r="Q1069" t="s">
        <v>51</v>
      </c>
      <c r="R1069" t="s">
        <v>51</v>
      </c>
      <c r="S1069" t="s">
        <v>51</v>
      </c>
      <c r="T1069" t="s">
        <v>51</v>
      </c>
    </row>
    <row r="1070" spans="1:20">
      <c r="A1070" t="s">
        <v>645</v>
      </c>
      <c r="B1070" t="s">
        <v>143</v>
      </c>
      <c r="C1070" t="s">
        <v>49</v>
      </c>
      <c r="D1070" t="s">
        <v>51</v>
      </c>
      <c r="E1070" t="s">
        <v>51</v>
      </c>
      <c r="F1070" t="s">
        <v>51</v>
      </c>
      <c r="G1070" t="s">
        <v>52</v>
      </c>
      <c r="H1070" t="s">
        <v>52</v>
      </c>
      <c r="I1070" t="s">
        <v>52</v>
      </c>
      <c r="J1070" t="s">
        <v>590</v>
      </c>
      <c r="K1070" t="s">
        <v>52</v>
      </c>
      <c r="L1070" t="s">
        <v>673</v>
      </c>
      <c r="M1070" t="s">
        <v>654</v>
      </c>
      <c r="N1070" t="s">
        <v>163</v>
      </c>
      <c r="O1070" t="s">
        <v>674</v>
      </c>
      <c r="P1070" t="s">
        <v>674</v>
      </c>
      <c r="Q1070" t="s">
        <v>51</v>
      </c>
      <c r="R1070" t="s">
        <v>51</v>
      </c>
      <c r="S1070" t="s">
        <v>51</v>
      </c>
      <c r="T1070" t="s">
        <v>51</v>
      </c>
    </row>
    <row r="1071" spans="1:20">
      <c r="A1071" t="s">
        <v>646</v>
      </c>
      <c r="B1071" t="s">
        <v>145</v>
      </c>
      <c r="C1071" t="s">
        <v>49</v>
      </c>
      <c r="D1071" t="s">
        <v>51</v>
      </c>
      <c r="E1071" t="s">
        <v>51</v>
      </c>
      <c r="F1071" t="s">
        <v>51</v>
      </c>
      <c r="G1071" t="s">
        <v>52</v>
      </c>
      <c r="H1071" t="s">
        <v>52</v>
      </c>
      <c r="I1071" t="s">
        <v>52</v>
      </c>
      <c r="J1071" t="s">
        <v>590</v>
      </c>
      <c r="K1071" t="s">
        <v>52</v>
      </c>
      <c r="L1071" t="s">
        <v>673</v>
      </c>
      <c r="M1071" t="s">
        <v>654</v>
      </c>
      <c r="N1071" t="s">
        <v>163</v>
      </c>
      <c r="O1071" t="s">
        <v>674</v>
      </c>
      <c r="P1071" t="s">
        <v>674</v>
      </c>
      <c r="Q1071" t="s">
        <v>51</v>
      </c>
      <c r="R1071" t="s">
        <v>51</v>
      </c>
      <c r="S1071" t="s">
        <v>51</v>
      </c>
      <c r="T1071" t="s">
        <v>51</v>
      </c>
    </row>
    <row r="1072" spans="1:20">
      <c r="A1072" t="s">
        <v>647</v>
      </c>
      <c r="B1072" t="s">
        <v>147</v>
      </c>
      <c r="C1072" t="s">
        <v>49</v>
      </c>
      <c r="D1072" t="s">
        <v>51</v>
      </c>
      <c r="E1072" t="s">
        <v>51</v>
      </c>
      <c r="F1072" t="s">
        <v>51</v>
      </c>
      <c r="G1072" t="s">
        <v>52</v>
      </c>
      <c r="H1072" t="s">
        <v>52</v>
      </c>
      <c r="I1072" t="s">
        <v>52</v>
      </c>
      <c r="J1072" t="s">
        <v>590</v>
      </c>
      <c r="K1072" t="s">
        <v>52</v>
      </c>
      <c r="L1072" t="s">
        <v>673</v>
      </c>
      <c r="M1072" t="s">
        <v>654</v>
      </c>
      <c r="N1072" t="s">
        <v>163</v>
      </c>
      <c r="O1072" t="s">
        <v>674</v>
      </c>
      <c r="P1072" t="s">
        <v>674</v>
      </c>
      <c r="Q1072" t="s">
        <v>51</v>
      </c>
      <c r="R1072" t="s">
        <v>51</v>
      </c>
      <c r="S1072" t="s">
        <v>51</v>
      </c>
      <c r="T1072" t="s">
        <v>51</v>
      </c>
    </row>
    <row r="1073" spans="1:20">
      <c r="A1073" t="s">
        <v>648</v>
      </c>
      <c r="B1073" t="s">
        <v>149</v>
      </c>
      <c r="C1073" t="s">
        <v>49</v>
      </c>
      <c r="D1073" t="s">
        <v>51</v>
      </c>
      <c r="E1073" t="s">
        <v>51</v>
      </c>
      <c r="F1073" t="s">
        <v>51</v>
      </c>
      <c r="G1073" t="s">
        <v>52</v>
      </c>
      <c r="H1073" t="s">
        <v>52</v>
      </c>
      <c r="I1073" t="s">
        <v>52</v>
      </c>
      <c r="J1073" t="s">
        <v>590</v>
      </c>
      <c r="K1073" t="s">
        <v>52</v>
      </c>
      <c r="L1073" t="s">
        <v>673</v>
      </c>
      <c r="M1073" t="s">
        <v>654</v>
      </c>
      <c r="N1073" t="s">
        <v>163</v>
      </c>
      <c r="O1073" t="s">
        <v>674</v>
      </c>
      <c r="P1073" t="s">
        <v>674</v>
      </c>
      <c r="Q1073" t="s">
        <v>51</v>
      </c>
      <c r="R1073" t="s">
        <v>51</v>
      </c>
      <c r="S1073" t="s">
        <v>51</v>
      </c>
      <c r="T1073" t="s">
        <v>51</v>
      </c>
    </row>
    <row r="1074" spans="1:20">
      <c r="A1074" t="s">
        <v>649</v>
      </c>
      <c r="B1074" t="s">
        <v>151</v>
      </c>
      <c r="C1074" t="s">
        <v>49</v>
      </c>
      <c r="D1074" t="s">
        <v>51</v>
      </c>
      <c r="E1074" t="s">
        <v>51</v>
      </c>
      <c r="F1074" t="s">
        <v>51</v>
      </c>
      <c r="G1074" t="s">
        <v>52</v>
      </c>
      <c r="H1074" t="s">
        <v>52</v>
      </c>
      <c r="I1074" t="s">
        <v>52</v>
      </c>
      <c r="J1074" t="s">
        <v>590</v>
      </c>
      <c r="K1074" t="s">
        <v>52</v>
      </c>
      <c r="L1074" t="s">
        <v>673</v>
      </c>
      <c r="M1074" t="s">
        <v>654</v>
      </c>
      <c r="N1074" t="s">
        <v>163</v>
      </c>
      <c r="O1074" t="s">
        <v>674</v>
      </c>
      <c r="P1074" t="s">
        <v>674</v>
      </c>
      <c r="Q1074" t="s">
        <v>51</v>
      </c>
      <c r="R1074" t="s">
        <v>51</v>
      </c>
      <c r="S1074" t="s">
        <v>51</v>
      </c>
      <c r="T1074" t="s">
        <v>51</v>
      </c>
    </row>
    <row r="1075" spans="1:20">
      <c r="A1075" t="s">
        <v>650</v>
      </c>
      <c r="B1075" t="s">
        <v>153</v>
      </c>
      <c r="C1075" t="s">
        <v>49</v>
      </c>
      <c r="D1075" t="s">
        <v>51</v>
      </c>
      <c r="E1075" t="s">
        <v>51</v>
      </c>
      <c r="F1075" t="s">
        <v>51</v>
      </c>
      <c r="G1075" t="s">
        <v>52</v>
      </c>
      <c r="H1075" t="s">
        <v>52</v>
      </c>
      <c r="I1075" t="s">
        <v>52</v>
      </c>
      <c r="J1075" t="s">
        <v>590</v>
      </c>
      <c r="K1075" t="s">
        <v>52</v>
      </c>
      <c r="L1075" t="s">
        <v>673</v>
      </c>
      <c r="M1075" t="s">
        <v>654</v>
      </c>
      <c r="N1075" t="s">
        <v>163</v>
      </c>
      <c r="O1075" t="s">
        <v>674</v>
      </c>
      <c r="P1075" t="s">
        <v>674</v>
      </c>
      <c r="Q1075" t="s">
        <v>51</v>
      </c>
      <c r="R1075" t="s">
        <v>51</v>
      </c>
      <c r="S1075" t="s">
        <v>51</v>
      </c>
      <c r="T1075" t="s">
        <v>51</v>
      </c>
    </row>
    <row r="1076" spans="1:20">
      <c r="A1076" t="s">
        <v>588</v>
      </c>
      <c r="B1076" t="s">
        <v>589</v>
      </c>
      <c r="C1076" t="s">
        <v>165</v>
      </c>
      <c r="D1076" t="s">
        <v>50</v>
      </c>
      <c r="E1076" t="s">
        <v>51</v>
      </c>
      <c r="F1076" t="s">
        <v>51</v>
      </c>
      <c r="G1076" t="s">
        <v>52</v>
      </c>
      <c r="H1076" t="s">
        <v>52</v>
      </c>
      <c r="I1076" t="s">
        <v>52</v>
      </c>
      <c r="J1076" t="s">
        <v>52</v>
      </c>
      <c r="K1076" t="s">
        <v>52</v>
      </c>
      <c r="L1076" t="s">
        <v>675</v>
      </c>
      <c r="M1076" t="s">
        <v>654</v>
      </c>
      <c r="N1076" t="s">
        <v>163</v>
      </c>
      <c r="O1076" t="s">
        <v>676</v>
      </c>
      <c r="P1076" t="s">
        <v>676</v>
      </c>
      <c r="Q1076" t="s">
        <v>51</v>
      </c>
      <c r="R1076" t="s">
        <v>51</v>
      </c>
      <c r="S1076" t="s">
        <v>51</v>
      </c>
      <c r="T1076" t="s">
        <v>51</v>
      </c>
    </row>
    <row r="1077" spans="1:20">
      <c r="A1077" t="s">
        <v>618</v>
      </c>
      <c r="B1077" t="s">
        <v>89</v>
      </c>
      <c r="C1077" t="s">
        <v>49</v>
      </c>
      <c r="D1077" t="s">
        <v>51</v>
      </c>
      <c r="E1077" t="s">
        <v>51</v>
      </c>
      <c r="F1077" t="s">
        <v>51</v>
      </c>
      <c r="G1077" t="s">
        <v>52</v>
      </c>
      <c r="H1077" t="s">
        <v>52</v>
      </c>
      <c r="I1077" t="s">
        <v>52</v>
      </c>
      <c r="J1077" t="s">
        <v>590</v>
      </c>
      <c r="K1077" t="s">
        <v>52</v>
      </c>
      <c r="L1077" t="s">
        <v>675</v>
      </c>
      <c r="M1077" t="s">
        <v>654</v>
      </c>
      <c r="N1077" t="s">
        <v>163</v>
      </c>
      <c r="O1077" t="s">
        <v>676</v>
      </c>
      <c r="P1077" t="s">
        <v>676</v>
      </c>
      <c r="Q1077" t="s">
        <v>51</v>
      </c>
      <c r="R1077" t="s">
        <v>51</v>
      </c>
      <c r="S1077" t="s">
        <v>51</v>
      </c>
      <c r="T1077" t="s">
        <v>51</v>
      </c>
    </row>
    <row r="1078" spans="1:20">
      <c r="A1078" t="s">
        <v>619</v>
      </c>
      <c r="B1078" t="s">
        <v>91</v>
      </c>
      <c r="C1078" t="s">
        <v>49</v>
      </c>
      <c r="D1078" t="s">
        <v>51</v>
      </c>
      <c r="E1078" t="s">
        <v>51</v>
      </c>
      <c r="F1078" t="s">
        <v>51</v>
      </c>
      <c r="G1078" t="s">
        <v>52</v>
      </c>
      <c r="H1078" t="s">
        <v>52</v>
      </c>
      <c r="I1078" t="s">
        <v>52</v>
      </c>
      <c r="J1078" t="s">
        <v>590</v>
      </c>
      <c r="K1078" t="s">
        <v>52</v>
      </c>
      <c r="L1078" t="s">
        <v>675</v>
      </c>
      <c r="M1078" t="s">
        <v>654</v>
      </c>
      <c r="N1078" t="s">
        <v>163</v>
      </c>
      <c r="O1078" t="s">
        <v>676</v>
      </c>
      <c r="P1078" t="s">
        <v>676</v>
      </c>
      <c r="Q1078" t="s">
        <v>51</v>
      </c>
      <c r="R1078" t="s">
        <v>51</v>
      </c>
      <c r="S1078" t="s">
        <v>51</v>
      </c>
      <c r="T1078" t="s">
        <v>51</v>
      </c>
    </row>
    <row r="1079" spans="1:20">
      <c r="A1079" t="s">
        <v>620</v>
      </c>
      <c r="B1079" t="s">
        <v>93</v>
      </c>
      <c r="C1079" t="s">
        <v>49</v>
      </c>
      <c r="D1079" t="s">
        <v>51</v>
      </c>
      <c r="E1079" t="s">
        <v>51</v>
      </c>
      <c r="F1079" t="s">
        <v>51</v>
      </c>
      <c r="G1079" t="s">
        <v>52</v>
      </c>
      <c r="H1079" t="s">
        <v>52</v>
      </c>
      <c r="I1079" t="s">
        <v>52</v>
      </c>
      <c r="J1079" t="s">
        <v>590</v>
      </c>
      <c r="K1079" t="s">
        <v>52</v>
      </c>
      <c r="L1079" t="s">
        <v>675</v>
      </c>
      <c r="M1079" t="s">
        <v>654</v>
      </c>
      <c r="N1079" t="s">
        <v>163</v>
      </c>
      <c r="O1079" t="s">
        <v>676</v>
      </c>
      <c r="P1079" t="s">
        <v>676</v>
      </c>
      <c r="Q1079" t="s">
        <v>51</v>
      </c>
      <c r="R1079" t="s">
        <v>51</v>
      </c>
      <c r="S1079" t="s">
        <v>51</v>
      </c>
      <c r="T1079" t="s">
        <v>51</v>
      </c>
    </row>
    <row r="1080" spans="1:20">
      <c r="A1080" t="s">
        <v>621</v>
      </c>
      <c r="B1080" t="s">
        <v>95</v>
      </c>
      <c r="C1080" t="s">
        <v>49</v>
      </c>
      <c r="D1080" t="s">
        <v>51</v>
      </c>
      <c r="E1080" t="s">
        <v>51</v>
      </c>
      <c r="F1080" t="s">
        <v>51</v>
      </c>
      <c r="G1080" t="s">
        <v>52</v>
      </c>
      <c r="H1080" t="s">
        <v>52</v>
      </c>
      <c r="I1080" t="s">
        <v>52</v>
      </c>
      <c r="J1080" t="s">
        <v>590</v>
      </c>
      <c r="K1080" t="s">
        <v>52</v>
      </c>
      <c r="L1080" t="s">
        <v>675</v>
      </c>
      <c r="M1080" t="s">
        <v>654</v>
      </c>
      <c r="N1080" t="s">
        <v>163</v>
      </c>
      <c r="O1080" t="s">
        <v>676</v>
      </c>
      <c r="P1080" t="s">
        <v>676</v>
      </c>
      <c r="Q1080" t="s">
        <v>51</v>
      </c>
      <c r="R1080" t="s">
        <v>51</v>
      </c>
      <c r="S1080" t="s">
        <v>51</v>
      </c>
      <c r="T1080" t="s">
        <v>51</v>
      </c>
    </row>
    <row r="1081" spans="1:20">
      <c r="A1081" t="s">
        <v>622</v>
      </c>
      <c r="B1081" t="s">
        <v>97</v>
      </c>
      <c r="C1081" t="s">
        <v>49</v>
      </c>
      <c r="D1081" t="s">
        <v>51</v>
      </c>
      <c r="E1081" t="s">
        <v>51</v>
      </c>
      <c r="F1081" t="s">
        <v>51</v>
      </c>
      <c r="G1081" t="s">
        <v>52</v>
      </c>
      <c r="H1081" t="s">
        <v>52</v>
      </c>
      <c r="I1081" t="s">
        <v>52</v>
      </c>
      <c r="J1081" t="s">
        <v>590</v>
      </c>
      <c r="K1081" t="s">
        <v>52</v>
      </c>
      <c r="L1081" t="s">
        <v>675</v>
      </c>
      <c r="M1081" t="s">
        <v>654</v>
      </c>
      <c r="N1081" t="s">
        <v>163</v>
      </c>
      <c r="O1081" t="s">
        <v>676</v>
      </c>
      <c r="P1081" t="s">
        <v>676</v>
      </c>
      <c r="Q1081" t="s">
        <v>51</v>
      </c>
      <c r="R1081" t="s">
        <v>51</v>
      </c>
      <c r="S1081" t="s">
        <v>51</v>
      </c>
      <c r="T1081" t="s">
        <v>51</v>
      </c>
    </row>
    <row r="1082" spans="1:20">
      <c r="A1082" t="s">
        <v>623</v>
      </c>
      <c r="B1082" t="s">
        <v>99</v>
      </c>
      <c r="C1082" t="s">
        <v>49</v>
      </c>
      <c r="D1082" t="s">
        <v>51</v>
      </c>
      <c r="E1082" t="s">
        <v>51</v>
      </c>
      <c r="F1082" t="s">
        <v>51</v>
      </c>
      <c r="G1082" t="s">
        <v>52</v>
      </c>
      <c r="H1082" t="s">
        <v>52</v>
      </c>
      <c r="I1082" t="s">
        <v>52</v>
      </c>
      <c r="J1082" t="s">
        <v>590</v>
      </c>
      <c r="K1082" t="s">
        <v>52</v>
      </c>
      <c r="L1082" t="s">
        <v>675</v>
      </c>
      <c r="M1082" t="s">
        <v>654</v>
      </c>
      <c r="N1082" t="s">
        <v>163</v>
      </c>
      <c r="O1082" t="s">
        <v>676</v>
      </c>
      <c r="P1082" t="s">
        <v>676</v>
      </c>
      <c r="Q1082" t="s">
        <v>51</v>
      </c>
      <c r="R1082" t="s">
        <v>51</v>
      </c>
      <c r="S1082" t="s">
        <v>51</v>
      </c>
      <c r="T1082" t="s">
        <v>51</v>
      </c>
    </row>
    <row r="1083" spans="1:20">
      <c r="A1083" t="s">
        <v>624</v>
      </c>
      <c r="B1083" t="s">
        <v>101</v>
      </c>
      <c r="C1083" t="s">
        <v>49</v>
      </c>
      <c r="D1083" t="s">
        <v>51</v>
      </c>
      <c r="E1083" t="s">
        <v>51</v>
      </c>
      <c r="F1083" t="s">
        <v>51</v>
      </c>
      <c r="G1083" t="s">
        <v>52</v>
      </c>
      <c r="H1083" t="s">
        <v>52</v>
      </c>
      <c r="I1083" t="s">
        <v>52</v>
      </c>
      <c r="J1083" t="s">
        <v>590</v>
      </c>
      <c r="K1083" t="s">
        <v>52</v>
      </c>
      <c r="L1083" t="s">
        <v>675</v>
      </c>
      <c r="M1083" t="s">
        <v>654</v>
      </c>
      <c r="N1083" t="s">
        <v>163</v>
      </c>
      <c r="O1083" t="s">
        <v>676</v>
      </c>
      <c r="P1083" t="s">
        <v>676</v>
      </c>
      <c r="Q1083" t="s">
        <v>51</v>
      </c>
      <c r="R1083" t="s">
        <v>51</v>
      </c>
      <c r="S1083" t="s">
        <v>51</v>
      </c>
      <c r="T1083" t="s">
        <v>51</v>
      </c>
    </row>
    <row r="1084" spans="1:20">
      <c r="A1084" t="s">
        <v>625</v>
      </c>
      <c r="B1084" t="s">
        <v>103</v>
      </c>
      <c r="C1084" t="s">
        <v>49</v>
      </c>
      <c r="D1084" t="s">
        <v>51</v>
      </c>
      <c r="E1084" t="s">
        <v>51</v>
      </c>
      <c r="F1084" t="s">
        <v>51</v>
      </c>
      <c r="G1084" t="s">
        <v>52</v>
      </c>
      <c r="H1084" t="s">
        <v>52</v>
      </c>
      <c r="I1084" t="s">
        <v>52</v>
      </c>
      <c r="J1084" t="s">
        <v>590</v>
      </c>
      <c r="K1084" t="s">
        <v>52</v>
      </c>
      <c r="L1084" t="s">
        <v>675</v>
      </c>
      <c r="M1084" t="s">
        <v>654</v>
      </c>
      <c r="N1084" t="s">
        <v>163</v>
      </c>
      <c r="O1084" t="s">
        <v>676</v>
      </c>
      <c r="P1084" t="s">
        <v>676</v>
      </c>
      <c r="Q1084" t="s">
        <v>51</v>
      </c>
      <c r="R1084" t="s">
        <v>51</v>
      </c>
      <c r="S1084" t="s">
        <v>51</v>
      </c>
      <c r="T1084" t="s">
        <v>51</v>
      </c>
    </row>
    <row r="1085" spans="1:20">
      <c r="A1085" t="s">
        <v>626</v>
      </c>
      <c r="B1085" t="s">
        <v>105</v>
      </c>
      <c r="C1085" t="s">
        <v>49</v>
      </c>
      <c r="D1085" t="s">
        <v>51</v>
      </c>
      <c r="E1085" t="s">
        <v>51</v>
      </c>
      <c r="F1085" t="s">
        <v>51</v>
      </c>
      <c r="G1085" t="s">
        <v>52</v>
      </c>
      <c r="H1085" t="s">
        <v>52</v>
      </c>
      <c r="I1085" t="s">
        <v>52</v>
      </c>
      <c r="J1085" t="s">
        <v>590</v>
      </c>
      <c r="K1085" t="s">
        <v>52</v>
      </c>
      <c r="L1085" t="s">
        <v>675</v>
      </c>
      <c r="M1085" t="s">
        <v>654</v>
      </c>
      <c r="N1085" t="s">
        <v>163</v>
      </c>
      <c r="O1085" t="s">
        <v>676</v>
      </c>
      <c r="P1085" t="s">
        <v>676</v>
      </c>
      <c r="Q1085" t="s">
        <v>51</v>
      </c>
      <c r="R1085" t="s">
        <v>51</v>
      </c>
      <c r="S1085" t="s">
        <v>51</v>
      </c>
      <c r="T1085" t="s">
        <v>51</v>
      </c>
    </row>
    <row r="1086" spans="1:20">
      <c r="A1086" t="s">
        <v>627</v>
      </c>
      <c r="B1086" t="s">
        <v>107</v>
      </c>
      <c r="C1086" t="s">
        <v>49</v>
      </c>
      <c r="D1086" t="s">
        <v>51</v>
      </c>
      <c r="E1086" t="s">
        <v>51</v>
      </c>
      <c r="F1086" t="s">
        <v>51</v>
      </c>
      <c r="G1086" t="s">
        <v>52</v>
      </c>
      <c r="H1086" t="s">
        <v>52</v>
      </c>
      <c r="I1086" t="s">
        <v>52</v>
      </c>
      <c r="J1086" t="s">
        <v>590</v>
      </c>
      <c r="K1086" t="s">
        <v>52</v>
      </c>
      <c r="L1086" t="s">
        <v>675</v>
      </c>
      <c r="M1086" t="s">
        <v>654</v>
      </c>
      <c r="N1086" t="s">
        <v>163</v>
      </c>
      <c r="O1086" t="s">
        <v>676</v>
      </c>
      <c r="P1086" t="s">
        <v>676</v>
      </c>
      <c r="Q1086" t="s">
        <v>51</v>
      </c>
      <c r="R1086" t="s">
        <v>51</v>
      </c>
      <c r="S1086" t="s">
        <v>51</v>
      </c>
      <c r="T1086" t="s">
        <v>51</v>
      </c>
    </row>
    <row r="1087" spans="1:20">
      <c r="A1087" t="s">
        <v>628</v>
      </c>
      <c r="B1087" t="s">
        <v>109</v>
      </c>
      <c r="C1087" t="s">
        <v>49</v>
      </c>
      <c r="D1087" t="s">
        <v>51</v>
      </c>
      <c r="E1087" t="s">
        <v>51</v>
      </c>
      <c r="F1087" t="s">
        <v>51</v>
      </c>
      <c r="G1087" t="s">
        <v>52</v>
      </c>
      <c r="H1087" t="s">
        <v>52</v>
      </c>
      <c r="I1087" t="s">
        <v>52</v>
      </c>
      <c r="J1087" t="s">
        <v>590</v>
      </c>
      <c r="K1087" t="s">
        <v>52</v>
      </c>
      <c r="L1087" t="s">
        <v>675</v>
      </c>
      <c r="M1087" t="s">
        <v>654</v>
      </c>
      <c r="N1087" t="s">
        <v>163</v>
      </c>
      <c r="O1087" t="s">
        <v>676</v>
      </c>
      <c r="P1087" t="s">
        <v>676</v>
      </c>
      <c r="Q1087" t="s">
        <v>51</v>
      </c>
      <c r="R1087" t="s">
        <v>51</v>
      </c>
      <c r="S1087" t="s">
        <v>51</v>
      </c>
      <c r="T1087" t="s">
        <v>51</v>
      </c>
    </row>
    <row r="1088" spans="1:20">
      <c r="A1088" t="s">
        <v>629</v>
      </c>
      <c r="B1088" t="s">
        <v>111</v>
      </c>
      <c r="C1088" t="s">
        <v>49</v>
      </c>
      <c r="D1088" t="s">
        <v>51</v>
      </c>
      <c r="E1088" t="s">
        <v>51</v>
      </c>
      <c r="F1088" t="s">
        <v>51</v>
      </c>
      <c r="G1088" t="s">
        <v>52</v>
      </c>
      <c r="H1088" t="s">
        <v>52</v>
      </c>
      <c r="I1088" t="s">
        <v>52</v>
      </c>
      <c r="J1088" t="s">
        <v>590</v>
      </c>
      <c r="K1088" t="s">
        <v>52</v>
      </c>
      <c r="L1088" t="s">
        <v>675</v>
      </c>
      <c r="M1088" t="s">
        <v>654</v>
      </c>
      <c r="N1088" t="s">
        <v>163</v>
      </c>
      <c r="O1088" t="s">
        <v>676</v>
      </c>
      <c r="P1088" t="s">
        <v>676</v>
      </c>
      <c r="Q1088" t="s">
        <v>51</v>
      </c>
      <c r="R1088" t="s">
        <v>51</v>
      </c>
      <c r="S1088" t="s">
        <v>51</v>
      </c>
      <c r="T1088" t="s">
        <v>51</v>
      </c>
    </row>
    <row r="1089" spans="1:20">
      <c r="A1089" t="s">
        <v>630</v>
      </c>
      <c r="B1089" t="s">
        <v>113</v>
      </c>
      <c r="C1089" t="s">
        <v>49</v>
      </c>
      <c r="D1089" t="s">
        <v>51</v>
      </c>
      <c r="E1089" t="s">
        <v>51</v>
      </c>
      <c r="F1089" t="s">
        <v>51</v>
      </c>
      <c r="G1089" t="s">
        <v>52</v>
      </c>
      <c r="H1089" t="s">
        <v>52</v>
      </c>
      <c r="I1089" t="s">
        <v>52</v>
      </c>
      <c r="J1089" t="s">
        <v>590</v>
      </c>
      <c r="K1089" t="s">
        <v>52</v>
      </c>
      <c r="L1089" t="s">
        <v>675</v>
      </c>
      <c r="M1089" t="s">
        <v>654</v>
      </c>
      <c r="N1089" t="s">
        <v>163</v>
      </c>
      <c r="O1089" t="s">
        <v>676</v>
      </c>
      <c r="P1089" t="s">
        <v>676</v>
      </c>
      <c r="Q1089" t="s">
        <v>51</v>
      </c>
      <c r="R1089" t="s">
        <v>51</v>
      </c>
      <c r="S1089" t="s">
        <v>51</v>
      </c>
      <c r="T1089" t="s">
        <v>51</v>
      </c>
    </row>
    <row r="1090" spans="1:20">
      <c r="A1090" t="s">
        <v>631</v>
      </c>
      <c r="B1090" t="s">
        <v>115</v>
      </c>
      <c r="C1090" t="s">
        <v>49</v>
      </c>
      <c r="D1090" t="s">
        <v>51</v>
      </c>
      <c r="E1090" t="s">
        <v>51</v>
      </c>
      <c r="F1090" t="s">
        <v>51</v>
      </c>
      <c r="G1090" t="s">
        <v>52</v>
      </c>
      <c r="H1090" t="s">
        <v>52</v>
      </c>
      <c r="I1090" t="s">
        <v>52</v>
      </c>
      <c r="J1090" t="s">
        <v>590</v>
      </c>
      <c r="K1090" t="s">
        <v>52</v>
      </c>
      <c r="L1090" t="s">
        <v>675</v>
      </c>
      <c r="M1090" t="s">
        <v>654</v>
      </c>
      <c r="N1090" t="s">
        <v>163</v>
      </c>
      <c r="O1090" t="s">
        <v>676</v>
      </c>
      <c r="P1090" t="s">
        <v>676</v>
      </c>
      <c r="Q1090" t="s">
        <v>51</v>
      </c>
      <c r="R1090" t="s">
        <v>51</v>
      </c>
      <c r="S1090" t="s">
        <v>51</v>
      </c>
      <c r="T1090" t="s">
        <v>51</v>
      </c>
    </row>
    <row r="1091" spans="1:20">
      <c r="A1091" t="s">
        <v>632</v>
      </c>
      <c r="B1091" t="s">
        <v>117</v>
      </c>
      <c r="C1091" t="s">
        <v>49</v>
      </c>
      <c r="D1091" t="s">
        <v>51</v>
      </c>
      <c r="E1091" t="s">
        <v>51</v>
      </c>
      <c r="F1091" t="s">
        <v>51</v>
      </c>
      <c r="G1091" t="s">
        <v>52</v>
      </c>
      <c r="H1091" t="s">
        <v>52</v>
      </c>
      <c r="I1091" t="s">
        <v>52</v>
      </c>
      <c r="J1091" t="s">
        <v>590</v>
      </c>
      <c r="K1091" t="s">
        <v>52</v>
      </c>
      <c r="L1091" t="s">
        <v>675</v>
      </c>
      <c r="M1091" t="s">
        <v>654</v>
      </c>
      <c r="N1091" t="s">
        <v>163</v>
      </c>
      <c r="O1091" t="s">
        <v>676</v>
      </c>
      <c r="P1091" t="s">
        <v>676</v>
      </c>
      <c r="Q1091" t="s">
        <v>51</v>
      </c>
      <c r="R1091" t="s">
        <v>51</v>
      </c>
      <c r="S1091" t="s">
        <v>51</v>
      </c>
      <c r="T1091" t="s">
        <v>51</v>
      </c>
    </row>
    <row r="1092" spans="1:20">
      <c r="A1092" t="s">
        <v>633</v>
      </c>
      <c r="B1092" t="s">
        <v>119</v>
      </c>
      <c r="C1092" t="s">
        <v>49</v>
      </c>
      <c r="D1092" t="s">
        <v>51</v>
      </c>
      <c r="E1092" t="s">
        <v>51</v>
      </c>
      <c r="F1092" t="s">
        <v>51</v>
      </c>
      <c r="G1092" t="s">
        <v>52</v>
      </c>
      <c r="H1092" t="s">
        <v>52</v>
      </c>
      <c r="I1092" t="s">
        <v>52</v>
      </c>
      <c r="J1092" t="s">
        <v>590</v>
      </c>
      <c r="K1092" t="s">
        <v>52</v>
      </c>
      <c r="L1092" t="s">
        <v>675</v>
      </c>
      <c r="M1092" t="s">
        <v>654</v>
      </c>
      <c r="N1092" t="s">
        <v>163</v>
      </c>
      <c r="O1092" t="s">
        <v>676</v>
      </c>
      <c r="P1092" t="s">
        <v>676</v>
      </c>
      <c r="Q1092" t="s">
        <v>51</v>
      </c>
      <c r="R1092" t="s">
        <v>51</v>
      </c>
      <c r="S1092" t="s">
        <v>51</v>
      </c>
      <c r="T1092" t="s">
        <v>51</v>
      </c>
    </row>
    <row r="1093" spans="1:20">
      <c r="A1093" t="s">
        <v>634</v>
      </c>
      <c r="B1093" t="s">
        <v>121</v>
      </c>
      <c r="C1093" t="s">
        <v>49</v>
      </c>
      <c r="D1093" t="s">
        <v>51</v>
      </c>
      <c r="E1093" t="s">
        <v>51</v>
      </c>
      <c r="F1093" t="s">
        <v>51</v>
      </c>
      <c r="G1093" t="s">
        <v>52</v>
      </c>
      <c r="H1093" t="s">
        <v>52</v>
      </c>
      <c r="I1093" t="s">
        <v>52</v>
      </c>
      <c r="J1093" t="s">
        <v>590</v>
      </c>
      <c r="K1093" t="s">
        <v>52</v>
      </c>
      <c r="L1093" t="s">
        <v>675</v>
      </c>
      <c r="M1093" t="s">
        <v>654</v>
      </c>
      <c r="N1093" t="s">
        <v>163</v>
      </c>
      <c r="O1093" t="s">
        <v>676</v>
      </c>
      <c r="P1093" t="s">
        <v>676</v>
      </c>
      <c r="Q1093" t="s">
        <v>51</v>
      </c>
      <c r="R1093" t="s">
        <v>51</v>
      </c>
      <c r="S1093" t="s">
        <v>51</v>
      </c>
      <c r="T1093" t="s">
        <v>51</v>
      </c>
    </row>
    <row r="1094" spans="1:20">
      <c r="A1094" t="s">
        <v>635</v>
      </c>
      <c r="B1094" t="s">
        <v>123</v>
      </c>
      <c r="C1094" t="s">
        <v>49</v>
      </c>
      <c r="D1094" t="s">
        <v>51</v>
      </c>
      <c r="E1094" t="s">
        <v>51</v>
      </c>
      <c r="F1094" t="s">
        <v>51</v>
      </c>
      <c r="G1094" t="s">
        <v>52</v>
      </c>
      <c r="H1094" t="s">
        <v>52</v>
      </c>
      <c r="I1094" t="s">
        <v>52</v>
      </c>
      <c r="J1094" t="s">
        <v>590</v>
      </c>
      <c r="K1094" t="s">
        <v>52</v>
      </c>
      <c r="L1094" t="s">
        <v>675</v>
      </c>
      <c r="M1094" t="s">
        <v>654</v>
      </c>
      <c r="N1094" t="s">
        <v>163</v>
      </c>
      <c r="O1094" t="s">
        <v>676</v>
      </c>
      <c r="P1094" t="s">
        <v>676</v>
      </c>
      <c r="Q1094" t="s">
        <v>51</v>
      </c>
      <c r="R1094" t="s">
        <v>51</v>
      </c>
      <c r="S1094" t="s">
        <v>51</v>
      </c>
      <c r="T1094" t="s">
        <v>51</v>
      </c>
    </row>
    <row r="1095" spans="1:20">
      <c r="A1095" t="s">
        <v>636</v>
      </c>
      <c r="B1095" t="s">
        <v>125</v>
      </c>
      <c r="C1095" t="s">
        <v>49</v>
      </c>
      <c r="D1095" t="s">
        <v>51</v>
      </c>
      <c r="E1095" t="s">
        <v>51</v>
      </c>
      <c r="F1095" t="s">
        <v>51</v>
      </c>
      <c r="G1095" t="s">
        <v>52</v>
      </c>
      <c r="H1095" t="s">
        <v>52</v>
      </c>
      <c r="I1095" t="s">
        <v>52</v>
      </c>
      <c r="J1095" t="s">
        <v>590</v>
      </c>
      <c r="K1095" t="s">
        <v>52</v>
      </c>
      <c r="L1095" t="s">
        <v>675</v>
      </c>
      <c r="M1095" t="s">
        <v>654</v>
      </c>
      <c r="N1095" t="s">
        <v>163</v>
      </c>
      <c r="O1095" t="s">
        <v>676</v>
      </c>
      <c r="P1095" t="s">
        <v>676</v>
      </c>
      <c r="Q1095" t="s">
        <v>51</v>
      </c>
      <c r="R1095" t="s">
        <v>51</v>
      </c>
      <c r="S1095" t="s">
        <v>51</v>
      </c>
      <c r="T1095" t="s">
        <v>51</v>
      </c>
    </row>
    <row r="1096" spans="1:20">
      <c r="A1096" t="s">
        <v>637</v>
      </c>
      <c r="B1096" t="s">
        <v>127</v>
      </c>
      <c r="C1096" t="s">
        <v>49</v>
      </c>
      <c r="D1096" t="s">
        <v>51</v>
      </c>
      <c r="E1096" t="s">
        <v>51</v>
      </c>
      <c r="F1096" t="s">
        <v>51</v>
      </c>
      <c r="G1096" t="s">
        <v>52</v>
      </c>
      <c r="H1096" t="s">
        <v>52</v>
      </c>
      <c r="I1096" t="s">
        <v>52</v>
      </c>
      <c r="J1096" t="s">
        <v>590</v>
      </c>
      <c r="K1096" t="s">
        <v>52</v>
      </c>
      <c r="L1096" t="s">
        <v>675</v>
      </c>
      <c r="M1096" t="s">
        <v>654</v>
      </c>
      <c r="N1096" t="s">
        <v>163</v>
      </c>
      <c r="O1096" t="s">
        <v>676</v>
      </c>
      <c r="P1096" t="s">
        <v>676</v>
      </c>
      <c r="Q1096" t="s">
        <v>51</v>
      </c>
      <c r="R1096" t="s">
        <v>51</v>
      </c>
      <c r="S1096" t="s">
        <v>51</v>
      </c>
      <c r="T1096" t="s">
        <v>51</v>
      </c>
    </row>
    <row r="1097" spans="1:20">
      <c r="A1097" t="s">
        <v>638</v>
      </c>
      <c r="B1097" t="s">
        <v>129</v>
      </c>
      <c r="C1097" t="s">
        <v>49</v>
      </c>
      <c r="D1097" t="s">
        <v>51</v>
      </c>
      <c r="E1097" t="s">
        <v>51</v>
      </c>
      <c r="F1097" t="s">
        <v>51</v>
      </c>
      <c r="G1097" t="s">
        <v>52</v>
      </c>
      <c r="H1097" t="s">
        <v>52</v>
      </c>
      <c r="I1097" t="s">
        <v>52</v>
      </c>
      <c r="J1097" t="s">
        <v>590</v>
      </c>
      <c r="K1097" t="s">
        <v>52</v>
      </c>
      <c r="L1097" t="s">
        <v>675</v>
      </c>
      <c r="M1097" t="s">
        <v>654</v>
      </c>
      <c r="N1097" t="s">
        <v>163</v>
      </c>
      <c r="O1097" t="s">
        <v>676</v>
      </c>
      <c r="P1097" t="s">
        <v>676</v>
      </c>
      <c r="Q1097" t="s">
        <v>51</v>
      </c>
      <c r="R1097" t="s">
        <v>51</v>
      </c>
      <c r="S1097" t="s">
        <v>51</v>
      </c>
      <c r="T1097" t="s">
        <v>51</v>
      </c>
    </row>
    <row r="1098" spans="1:20">
      <c r="A1098" t="s">
        <v>639</v>
      </c>
      <c r="B1098" t="s">
        <v>131</v>
      </c>
      <c r="C1098" t="s">
        <v>49</v>
      </c>
      <c r="D1098" t="s">
        <v>51</v>
      </c>
      <c r="E1098" t="s">
        <v>51</v>
      </c>
      <c r="F1098" t="s">
        <v>51</v>
      </c>
      <c r="G1098" t="s">
        <v>52</v>
      </c>
      <c r="H1098" t="s">
        <v>52</v>
      </c>
      <c r="I1098" t="s">
        <v>52</v>
      </c>
      <c r="J1098" t="s">
        <v>590</v>
      </c>
      <c r="K1098" t="s">
        <v>52</v>
      </c>
      <c r="L1098" t="s">
        <v>675</v>
      </c>
      <c r="M1098" t="s">
        <v>654</v>
      </c>
      <c r="N1098" t="s">
        <v>163</v>
      </c>
      <c r="O1098" t="s">
        <v>676</v>
      </c>
      <c r="P1098" t="s">
        <v>676</v>
      </c>
      <c r="Q1098" t="s">
        <v>51</v>
      </c>
      <c r="R1098" t="s">
        <v>51</v>
      </c>
      <c r="S1098" t="s">
        <v>51</v>
      </c>
      <c r="T1098" t="s">
        <v>51</v>
      </c>
    </row>
    <row r="1099" spans="1:20">
      <c r="A1099" t="s">
        <v>640</v>
      </c>
      <c r="B1099" t="s">
        <v>133</v>
      </c>
      <c r="C1099" t="s">
        <v>49</v>
      </c>
      <c r="D1099" t="s">
        <v>51</v>
      </c>
      <c r="E1099" t="s">
        <v>51</v>
      </c>
      <c r="F1099" t="s">
        <v>51</v>
      </c>
      <c r="G1099" t="s">
        <v>52</v>
      </c>
      <c r="H1099" t="s">
        <v>52</v>
      </c>
      <c r="I1099" t="s">
        <v>52</v>
      </c>
      <c r="J1099" t="s">
        <v>590</v>
      </c>
      <c r="K1099" t="s">
        <v>52</v>
      </c>
      <c r="L1099" t="s">
        <v>675</v>
      </c>
      <c r="M1099" t="s">
        <v>654</v>
      </c>
      <c r="N1099" t="s">
        <v>163</v>
      </c>
      <c r="O1099" t="s">
        <v>676</v>
      </c>
      <c r="P1099" t="s">
        <v>676</v>
      </c>
      <c r="Q1099" t="s">
        <v>51</v>
      </c>
      <c r="R1099" t="s">
        <v>51</v>
      </c>
      <c r="S1099" t="s">
        <v>51</v>
      </c>
      <c r="T1099" t="s">
        <v>51</v>
      </c>
    </row>
    <row r="1100" spans="1:20">
      <c r="A1100" t="s">
        <v>641</v>
      </c>
      <c r="B1100" t="s">
        <v>135</v>
      </c>
      <c r="C1100" t="s">
        <v>49</v>
      </c>
      <c r="D1100" t="s">
        <v>51</v>
      </c>
      <c r="E1100" t="s">
        <v>51</v>
      </c>
      <c r="F1100" t="s">
        <v>51</v>
      </c>
      <c r="G1100" t="s">
        <v>52</v>
      </c>
      <c r="H1100" t="s">
        <v>52</v>
      </c>
      <c r="I1100" t="s">
        <v>52</v>
      </c>
      <c r="J1100" t="s">
        <v>590</v>
      </c>
      <c r="K1100" t="s">
        <v>52</v>
      </c>
      <c r="L1100" t="s">
        <v>675</v>
      </c>
      <c r="M1100" t="s">
        <v>654</v>
      </c>
      <c r="N1100" t="s">
        <v>163</v>
      </c>
      <c r="O1100" t="s">
        <v>676</v>
      </c>
      <c r="P1100" t="s">
        <v>676</v>
      </c>
      <c r="Q1100" t="s">
        <v>51</v>
      </c>
      <c r="R1100" t="s">
        <v>51</v>
      </c>
      <c r="S1100" t="s">
        <v>51</v>
      </c>
      <c r="T1100" t="s">
        <v>51</v>
      </c>
    </row>
    <row r="1101" spans="1:20">
      <c r="A1101" t="s">
        <v>642</v>
      </c>
      <c r="B1101" t="s">
        <v>137</v>
      </c>
      <c r="C1101" t="s">
        <v>49</v>
      </c>
      <c r="D1101" t="s">
        <v>51</v>
      </c>
      <c r="E1101" t="s">
        <v>51</v>
      </c>
      <c r="F1101" t="s">
        <v>51</v>
      </c>
      <c r="G1101" t="s">
        <v>52</v>
      </c>
      <c r="H1101" t="s">
        <v>52</v>
      </c>
      <c r="I1101" t="s">
        <v>52</v>
      </c>
      <c r="J1101" t="s">
        <v>590</v>
      </c>
      <c r="K1101" t="s">
        <v>52</v>
      </c>
      <c r="L1101" t="s">
        <v>675</v>
      </c>
      <c r="M1101" t="s">
        <v>654</v>
      </c>
      <c r="N1101" t="s">
        <v>163</v>
      </c>
      <c r="O1101" t="s">
        <v>676</v>
      </c>
      <c r="P1101" t="s">
        <v>676</v>
      </c>
      <c r="Q1101" t="s">
        <v>51</v>
      </c>
      <c r="R1101" t="s">
        <v>51</v>
      </c>
      <c r="S1101" t="s">
        <v>51</v>
      </c>
      <c r="T1101" t="s">
        <v>51</v>
      </c>
    </row>
    <row r="1102" spans="1:20">
      <c r="A1102" t="s">
        <v>643</v>
      </c>
      <c r="B1102" t="s">
        <v>139</v>
      </c>
      <c r="C1102" t="s">
        <v>49</v>
      </c>
      <c r="D1102" t="s">
        <v>51</v>
      </c>
      <c r="E1102" t="s">
        <v>51</v>
      </c>
      <c r="F1102" t="s">
        <v>51</v>
      </c>
      <c r="G1102" t="s">
        <v>52</v>
      </c>
      <c r="H1102" t="s">
        <v>52</v>
      </c>
      <c r="I1102" t="s">
        <v>52</v>
      </c>
      <c r="J1102" t="s">
        <v>590</v>
      </c>
      <c r="K1102" t="s">
        <v>52</v>
      </c>
      <c r="L1102" t="s">
        <v>675</v>
      </c>
      <c r="M1102" t="s">
        <v>654</v>
      </c>
      <c r="N1102" t="s">
        <v>163</v>
      </c>
      <c r="O1102" t="s">
        <v>676</v>
      </c>
      <c r="P1102" t="s">
        <v>676</v>
      </c>
      <c r="Q1102" t="s">
        <v>51</v>
      </c>
      <c r="R1102" t="s">
        <v>51</v>
      </c>
      <c r="S1102" t="s">
        <v>51</v>
      </c>
      <c r="T1102" t="s">
        <v>51</v>
      </c>
    </row>
    <row r="1103" spans="1:20">
      <c r="A1103" t="s">
        <v>644</v>
      </c>
      <c r="B1103" t="s">
        <v>141</v>
      </c>
      <c r="C1103" t="s">
        <v>49</v>
      </c>
      <c r="D1103" t="s">
        <v>51</v>
      </c>
      <c r="E1103" t="s">
        <v>51</v>
      </c>
      <c r="F1103" t="s">
        <v>51</v>
      </c>
      <c r="G1103" t="s">
        <v>52</v>
      </c>
      <c r="H1103" t="s">
        <v>52</v>
      </c>
      <c r="I1103" t="s">
        <v>52</v>
      </c>
      <c r="J1103" t="s">
        <v>590</v>
      </c>
      <c r="K1103" t="s">
        <v>52</v>
      </c>
      <c r="L1103" t="s">
        <v>675</v>
      </c>
      <c r="M1103" t="s">
        <v>654</v>
      </c>
      <c r="N1103" t="s">
        <v>163</v>
      </c>
      <c r="O1103" t="s">
        <v>676</v>
      </c>
      <c r="P1103" t="s">
        <v>676</v>
      </c>
      <c r="Q1103" t="s">
        <v>51</v>
      </c>
      <c r="R1103" t="s">
        <v>51</v>
      </c>
      <c r="S1103" t="s">
        <v>51</v>
      </c>
      <c r="T1103" t="s">
        <v>51</v>
      </c>
    </row>
    <row r="1104" spans="1:20">
      <c r="A1104" t="s">
        <v>645</v>
      </c>
      <c r="B1104" t="s">
        <v>143</v>
      </c>
      <c r="C1104" t="s">
        <v>49</v>
      </c>
      <c r="D1104" t="s">
        <v>51</v>
      </c>
      <c r="E1104" t="s">
        <v>51</v>
      </c>
      <c r="F1104" t="s">
        <v>51</v>
      </c>
      <c r="G1104" t="s">
        <v>52</v>
      </c>
      <c r="H1104" t="s">
        <v>52</v>
      </c>
      <c r="I1104" t="s">
        <v>52</v>
      </c>
      <c r="J1104" t="s">
        <v>590</v>
      </c>
      <c r="K1104" t="s">
        <v>52</v>
      </c>
      <c r="L1104" t="s">
        <v>675</v>
      </c>
      <c r="M1104" t="s">
        <v>654</v>
      </c>
      <c r="N1104" t="s">
        <v>163</v>
      </c>
      <c r="O1104" t="s">
        <v>676</v>
      </c>
      <c r="P1104" t="s">
        <v>676</v>
      </c>
      <c r="Q1104" t="s">
        <v>51</v>
      </c>
      <c r="R1104" t="s">
        <v>51</v>
      </c>
      <c r="S1104" t="s">
        <v>51</v>
      </c>
      <c r="T1104" t="s">
        <v>51</v>
      </c>
    </row>
    <row r="1105" spans="1:20">
      <c r="A1105" t="s">
        <v>646</v>
      </c>
      <c r="B1105" t="s">
        <v>145</v>
      </c>
      <c r="C1105" t="s">
        <v>49</v>
      </c>
      <c r="D1105" t="s">
        <v>51</v>
      </c>
      <c r="E1105" t="s">
        <v>51</v>
      </c>
      <c r="F1105" t="s">
        <v>51</v>
      </c>
      <c r="G1105" t="s">
        <v>52</v>
      </c>
      <c r="H1105" t="s">
        <v>52</v>
      </c>
      <c r="I1105" t="s">
        <v>52</v>
      </c>
      <c r="J1105" t="s">
        <v>590</v>
      </c>
      <c r="K1105" t="s">
        <v>52</v>
      </c>
      <c r="L1105" t="s">
        <v>675</v>
      </c>
      <c r="M1105" t="s">
        <v>654</v>
      </c>
      <c r="N1105" t="s">
        <v>163</v>
      </c>
      <c r="O1105" t="s">
        <v>676</v>
      </c>
      <c r="P1105" t="s">
        <v>676</v>
      </c>
      <c r="Q1105" t="s">
        <v>51</v>
      </c>
      <c r="R1105" t="s">
        <v>51</v>
      </c>
      <c r="S1105" t="s">
        <v>51</v>
      </c>
      <c r="T1105" t="s">
        <v>51</v>
      </c>
    </row>
    <row r="1106" spans="1:20">
      <c r="A1106" t="s">
        <v>647</v>
      </c>
      <c r="B1106" t="s">
        <v>147</v>
      </c>
      <c r="C1106" t="s">
        <v>49</v>
      </c>
      <c r="D1106" t="s">
        <v>51</v>
      </c>
      <c r="E1106" t="s">
        <v>51</v>
      </c>
      <c r="F1106" t="s">
        <v>51</v>
      </c>
      <c r="G1106" t="s">
        <v>52</v>
      </c>
      <c r="H1106" t="s">
        <v>52</v>
      </c>
      <c r="I1106" t="s">
        <v>52</v>
      </c>
      <c r="J1106" t="s">
        <v>590</v>
      </c>
      <c r="K1106" t="s">
        <v>52</v>
      </c>
      <c r="L1106" t="s">
        <v>675</v>
      </c>
      <c r="M1106" t="s">
        <v>654</v>
      </c>
      <c r="N1106" t="s">
        <v>163</v>
      </c>
      <c r="O1106" t="s">
        <v>676</v>
      </c>
      <c r="P1106" t="s">
        <v>676</v>
      </c>
      <c r="Q1106" t="s">
        <v>51</v>
      </c>
      <c r="R1106" t="s">
        <v>51</v>
      </c>
      <c r="S1106" t="s">
        <v>51</v>
      </c>
      <c r="T1106" t="s">
        <v>51</v>
      </c>
    </row>
    <row r="1107" spans="1:20">
      <c r="A1107" t="s">
        <v>648</v>
      </c>
      <c r="B1107" t="s">
        <v>149</v>
      </c>
      <c r="C1107" t="s">
        <v>49</v>
      </c>
      <c r="D1107" t="s">
        <v>51</v>
      </c>
      <c r="E1107" t="s">
        <v>51</v>
      </c>
      <c r="F1107" t="s">
        <v>51</v>
      </c>
      <c r="G1107" t="s">
        <v>52</v>
      </c>
      <c r="H1107" t="s">
        <v>52</v>
      </c>
      <c r="I1107" t="s">
        <v>52</v>
      </c>
      <c r="J1107" t="s">
        <v>590</v>
      </c>
      <c r="K1107" t="s">
        <v>52</v>
      </c>
      <c r="L1107" t="s">
        <v>675</v>
      </c>
      <c r="M1107" t="s">
        <v>654</v>
      </c>
      <c r="N1107" t="s">
        <v>163</v>
      </c>
      <c r="O1107" t="s">
        <v>676</v>
      </c>
      <c r="P1107" t="s">
        <v>676</v>
      </c>
      <c r="Q1107" t="s">
        <v>51</v>
      </c>
      <c r="R1107" t="s">
        <v>51</v>
      </c>
      <c r="S1107" t="s">
        <v>51</v>
      </c>
      <c r="T1107" t="s">
        <v>51</v>
      </c>
    </row>
    <row r="1108" spans="1:20">
      <c r="A1108" t="s">
        <v>649</v>
      </c>
      <c r="B1108" t="s">
        <v>151</v>
      </c>
      <c r="C1108" t="s">
        <v>49</v>
      </c>
      <c r="D1108" t="s">
        <v>51</v>
      </c>
      <c r="E1108" t="s">
        <v>51</v>
      </c>
      <c r="F1108" t="s">
        <v>51</v>
      </c>
      <c r="G1108" t="s">
        <v>52</v>
      </c>
      <c r="H1108" t="s">
        <v>52</v>
      </c>
      <c r="I1108" t="s">
        <v>52</v>
      </c>
      <c r="J1108" t="s">
        <v>590</v>
      </c>
      <c r="K1108" t="s">
        <v>52</v>
      </c>
      <c r="L1108" t="s">
        <v>675</v>
      </c>
      <c r="M1108" t="s">
        <v>654</v>
      </c>
      <c r="N1108" t="s">
        <v>163</v>
      </c>
      <c r="O1108" t="s">
        <v>676</v>
      </c>
      <c r="P1108" t="s">
        <v>676</v>
      </c>
      <c r="Q1108" t="s">
        <v>51</v>
      </c>
      <c r="R1108" t="s">
        <v>51</v>
      </c>
      <c r="S1108" t="s">
        <v>51</v>
      </c>
      <c r="T1108" t="s">
        <v>51</v>
      </c>
    </row>
    <row r="1109" spans="1:20">
      <c r="A1109" t="s">
        <v>650</v>
      </c>
      <c r="B1109" t="s">
        <v>153</v>
      </c>
      <c r="C1109" t="s">
        <v>49</v>
      </c>
      <c r="D1109" t="s">
        <v>51</v>
      </c>
      <c r="E1109" t="s">
        <v>51</v>
      </c>
      <c r="F1109" t="s">
        <v>51</v>
      </c>
      <c r="G1109" t="s">
        <v>52</v>
      </c>
      <c r="H1109" t="s">
        <v>52</v>
      </c>
      <c r="I1109" t="s">
        <v>52</v>
      </c>
      <c r="J1109" t="s">
        <v>590</v>
      </c>
      <c r="K1109" t="s">
        <v>52</v>
      </c>
      <c r="L1109" t="s">
        <v>675</v>
      </c>
      <c r="M1109" t="s">
        <v>654</v>
      </c>
      <c r="N1109" t="s">
        <v>163</v>
      </c>
      <c r="O1109" t="s">
        <v>676</v>
      </c>
      <c r="P1109" t="s">
        <v>676</v>
      </c>
      <c r="Q1109" t="s">
        <v>51</v>
      </c>
      <c r="R1109" t="s">
        <v>51</v>
      </c>
      <c r="S1109" t="s">
        <v>51</v>
      </c>
      <c r="T1109" t="s">
        <v>51</v>
      </c>
    </row>
    <row r="1110" spans="1:20">
      <c r="A1110" t="s">
        <v>588</v>
      </c>
      <c r="B1110" t="s">
        <v>589</v>
      </c>
      <c r="C1110" t="s">
        <v>165</v>
      </c>
      <c r="D1110" t="s">
        <v>50</v>
      </c>
      <c r="E1110" t="s">
        <v>51</v>
      </c>
      <c r="F1110" t="s">
        <v>51</v>
      </c>
      <c r="G1110" t="s">
        <v>52</v>
      </c>
      <c r="H1110" t="s">
        <v>52</v>
      </c>
      <c r="I1110" t="s">
        <v>52</v>
      </c>
      <c r="J1110" t="s">
        <v>52</v>
      </c>
      <c r="K1110" t="s">
        <v>52</v>
      </c>
      <c r="L1110" t="s">
        <v>677</v>
      </c>
      <c r="M1110" t="s">
        <v>654</v>
      </c>
      <c r="N1110" t="s">
        <v>163</v>
      </c>
      <c r="O1110" t="s">
        <v>678</v>
      </c>
      <c r="P1110" t="s">
        <v>678</v>
      </c>
      <c r="Q1110" t="s">
        <v>51</v>
      </c>
      <c r="R1110" t="s">
        <v>51</v>
      </c>
      <c r="S1110" t="s">
        <v>51</v>
      </c>
      <c r="T1110" t="s">
        <v>51</v>
      </c>
    </row>
    <row r="1111" spans="1:20">
      <c r="A1111" t="s">
        <v>619</v>
      </c>
      <c r="B1111" t="s">
        <v>91</v>
      </c>
      <c r="C1111" t="s">
        <v>49</v>
      </c>
      <c r="D1111" t="s">
        <v>51</v>
      </c>
      <c r="E1111" t="s">
        <v>51</v>
      </c>
      <c r="F1111" t="s">
        <v>51</v>
      </c>
      <c r="G1111" t="s">
        <v>52</v>
      </c>
      <c r="H1111" t="s">
        <v>52</v>
      </c>
      <c r="I1111" t="s">
        <v>52</v>
      </c>
      <c r="J1111" t="s">
        <v>590</v>
      </c>
      <c r="K1111" t="s">
        <v>52</v>
      </c>
      <c r="L1111" t="s">
        <v>677</v>
      </c>
      <c r="M1111" t="s">
        <v>654</v>
      </c>
      <c r="N1111" t="s">
        <v>163</v>
      </c>
      <c r="O1111" t="s">
        <v>678</v>
      </c>
      <c r="P1111" t="s">
        <v>678</v>
      </c>
      <c r="Q1111" t="s">
        <v>51</v>
      </c>
      <c r="R1111" t="s">
        <v>51</v>
      </c>
      <c r="S1111" t="s">
        <v>51</v>
      </c>
      <c r="T1111" t="s">
        <v>51</v>
      </c>
    </row>
    <row r="1112" spans="1:20">
      <c r="A1112" t="s">
        <v>620</v>
      </c>
      <c r="B1112" t="s">
        <v>93</v>
      </c>
      <c r="C1112" t="s">
        <v>49</v>
      </c>
      <c r="D1112" t="s">
        <v>51</v>
      </c>
      <c r="E1112" t="s">
        <v>51</v>
      </c>
      <c r="F1112" t="s">
        <v>51</v>
      </c>
      <c r="G1112" t="s">
        <v>52</v>
      </c>
      <c r="H1112" t="s">
        <v>52</v>
      </c>
      <c r="I1112" t="s">
        <v>52</v>
      </c>
      <c r="J1112" t="s">
        <v>590</v>
      </c>
      <c r="K1112" t="s">
        <v>52</v>
      </c>
      <c r="L1112" t="s">
        <v>677</v>
      </c>
      <c r="M1112" t="s">
        <v>654</v>
      </c>
      <c r="N1112" t="s">
        <v>163</v>
      </c>
      <c r="O1112" t="s">
        <v>678</v>
      </c>
      <c r="P1112" t="s">
        <v>678</v>
      </c>
      <c r="Q1112" t="s">
        <v>51</v>
      </c>
      <c r="R1112" t="s">
        <v>51</v>
      </c>
      <c r="S1112" t="s">
        <v>51</v>
      </c>
      <c r="T1112" t="s">
        <v>51</v>
      </c>
    </row>
    <row r="1113" spans="1:20">
      <c r="A1113" t="s">
        <v>621</v>
      </c>
      <c r="B1113" t="s">
        <v>95</v>
      </c>
      <c r="C1113" t="s">
        <v>49</v>
      </c>
      <c r="D1113" t="s">
        <v>51</v>
      </c>
      <c r="E1113" t="s">
        <v>51</v>
      </c>
      <c r="F1113" t="s">
        <v>51</v>
      </c>
      <c r="G1113" t="s">
        <v>52</v>
      </c>
      <c r="H1113" t="s">
        <v>52</v>
      </c>
      <c r="I1113" t="s">
        <v>52</v>
      </c>
      <c r="J1113" t="s">
        <v>590</v>
      </c>
      <c r="K1113" t="s">
        <v>52</v>
      </c>
      <c r="L1113" t="s">
        <v>677</v>
      </c>
      <c r="M1113" t="s">
        <v>654</v>
      </c>
      <c r="N1113" t="s">
        <v>163</v>
      </c>
      <c r="O1113" t="s">
        <v>678</v>
      </c>
      <c r="P1113" t="s">
        <v>678</v>
      </c>
      <c r="Q1113" t="s">
        <v>51</v>
      </c>
      <c r="R1113" t="s">
        <v>51</v>
      </c>
      <c r="S1113" t="s">
        <v>51</v>
      </c>
      <c r="T1113" t="s">
        <v>51</v>
      </c>
    </row>
    <row r="1114" spans="1:20">
      <c r="A1114" t="s">
        <v>622</v>
      </c>
      <c r="B1114" t="s">
        <v>97</v>
      </c>
      <c r="C1114" t="s">
        <v>49</v>
      </c>
      <c r="D1114" t="s">
        <v>51</v>
      </c>
      <c r="E1114" t="s">
        <v>51</v>
      </c>
      <c r="F1114" t="s">
        <v>51</v>
      </c>
      <c r="G1114" t="s">
        <v>52</v>
      </c>
      <c r="H1114" t="s">
        <v>52</v>
      </c>
      <c r="I1114" t="s">
        <v>52</v>
      </c>
      <c r="J1114" t="s">
        <v>590</v>
      </c>
      <c r="K1114" t="s">
        <v>52</v>
      </c>
      <c r="L1114" t="s">
        <v>677</v>
      </c>
      <c r="M1114" t="s">
        <v>654</v>
      </c>
      <c r="N1114" t="s">
        <v>163</v>
      </c>
      <c r="O1114" t="s">
        <v>678</v>
      </c>
      <c r="P1114" t="s">
        <v>678</v>
      </c>
      <c r="Q1114" t="s">
        <v>51</v>
      </c>
      <c r="R1114" t="s">
        <v>51</v>
      </c>
      <c r="S1114" t="s">
        <v>51</v>
      </c>
      <c r="T1114" t="s">
        <v>51</v>
      </c>
    </row>
    <row r="1115" spans="1:20">
      <c r="A1115" t="s">
        <v>623</v>
      </c>
      <c r="B1115" t="s">
        <v>99</v>
      </c>
      <c r="C1115" t="s">
        <v>49</v>
      </c>
      <c r="D1115" t="s">
        <v>51</v>
      </c>
      <c r="E1115" t="s">
        <v>51</v>
      </c>
      <c r="F1115" t="s">
        <v>51</v>
      </c>
      <c r="G1115" t="s">
        <v>52</v>
      </c>
      <c r="H1115" t="s">
        <v>52</v>
      </c>
      <c r="I1115" t="s">
        <v>52</v>
      </c>
      <c r="J1115" t="s">
        <v>590</v>
      </c>
      <c r="K1115" t="s">
        <v>52</v>
      </c>
      <c r="L1115" t="s">
        <v>677</v>
      </c>
      <c r="M1115" t="s">
        <v>654</v>
      </c>
      <c r="N1115" t="s">
        <v>163</v>
      </c>
      <c r="O1115" t="s">
        <v>678</v>
      </c>
      <c r="P1115" t="s">
        <v>678</v>
      </c>
      <c r="Q1115" t="s">
        <v>51</v>
      </c>
      <c r="R1115" t="s">
        <v>51</v>
      </c>
      <c r="S1115" t="s">
        <v>51</v>
      </c>
      <c r="T1115" t="s">
        <v>51</v>
      </c>
    </row>
    <row r="1116" spans="1:20">
      <c r="A1116" t="s">
        <v>624</v>
      </c>
      <c r="B1116" t="s">
        <v>101</v>
      </c>
      <c r="C1116" t="s">
        <v>49</v>
      </c>
      <c r="D1116" t="s">
        <v>51</v>
      </c>
      <c r="E1116" t="s">
        <v>51</v>
      </c>
      <c r="F1116" t="s">
        <v>51</v>
      </c>
      <c r="G1116" t="s">
        <v>52</v>
      </c>
      <c r="H1116" t="s">
        <v>52</v>
      </c>
      <c r="I1116" t="s">
        <v>52</v>
      </c>
      <c r="J1116" t="s">
        <v>590</v>
      </c>
      <c r="K1116" t="s">
        <v>52</v>
      </c>
      <c r="L1116" t="s">
        <v>677</v>
      </c>
      <c r="M1116" t="s">
        <v>654</v>
      </c>
      <c r="N1116" t="s">
        <v>163</v>
      </c>
      <c r="O1116" t="s">
        <v>678</v>
      </c>
      <c r="P1116" t="s">
        <v>678</v>
      </c>
      <c r="Q1116" t="s">
        <v>51</v>
      </c>
      <c r="R1116" t="s">
        <v>51</v>
      </c>
      <c r="S1116" t="s">
        <v>51</v>
      </c>
      <c r="T1116" t="s">
        <v>51</v>
      </c>
    </row>
    <row r="1117" spans="1:20">
      <c r="A1117" t="s">
        <v>625</v>
      </c>
      <c r="B1117" t="s">
        <v>103</v>
      </c>
      <c r="C1117" t="s">
        <v>49</v>
      </c>
      <c r="D1117" t="s">
        <v>51</v>
      </c>
      <c r="E1117" t="s">
        <v>51</v>
      </c>
      <c r="F1117" t="s">
        <v>51</v>
      </c>
      <c r="G1117" t="s">
        <v>52</v>
      </c>
      <c r="H1117" t="s">
        <v>52</v>
      </c>
      <c r="I1117" t="s">
        <v>52</v>
      </c>
      <c r="J1117" t="s">
        <v>590</v>
      </c>
      <c r="K1117" t="s">
        <v>52</v>
      </c>
      <c r="L1117" t="s">
        <v>677</v>
      </c>
      <c r="M1117" t="s">
        <v>654</v>
      </c>
      <c r="N1117" t="s">
        <v>163</v>
      </c>
      <c r="O1117" t="s">
        <v>678</v>
      </c>
      <c r="P1117" t="s">
        <v>678</v>
      </c>
      <c r="Q1117" t="s">
        <v>51</v>
      </c>
      <c r="R1117" t="s">
        <v>51</v>
      </c>
      <c r="S1117" t="s">
        <v>51</v>
      </c>
      <c r="T1117" t="s">
        <v>51</v>
      </c>
    </row>
    <row r="1118" spans="1:20">
      <c r="A1118" t="s">
        <v>626</v>
      </c>
      <c r="B1118" t="s">
        <v>105</v>
      </c>
      <c r="C1118" t="s">
        <v>49</v>
      </c>
      <c r="D1118" t="s">
        <v>51</v>
      </c>
      <c r="E1118" t="s">
        <v>51</v>
      </c>
      <c r="F1118" t="s">
        <v>51</v>
      </c>
      <c r="G1118" t="s">
        <v>52</v>
      </c>
      <c r="H1118" t="s">
        <v>52</v>
      </c>
      <c r="I1118" t="s">
        <v>52</v>
      </c>
      <c r="J1118" t="s">
        <v>590</v>
      </c>
      <c r="K1118" t="s">
        <v>52</v>
      </c>
      <c r="L1118" t="s">
        <v>677</v>
      </c>
      <c r="M1118" t="s">
        <v>654</v>
      </c>
      <c r="N1118" t="s">
        <v>163</v>
      </c>
      <c r="O1118" t="s">
        <v>678</v>
      </c>
      <c r="P1118" t="s">
        <v>678</v>
      </c>
      <c r="Q1118" t="s">
        <v>51</v>
      </c>
      <c r="R1118" t="s">
        <v>51</v>
      </c>
      <c r="S1118" t="s">
        <v>51</v>
      </c>
      <c r="T1118" t="s">
        <v>51</v>
      </c>
    </row>
    <row r="1119" spans="1:20">
      <c r="A1119" t="s">
        <v>627</v>
      </c>
      <c r="B1119" t="s">
        <v>107</v>
      </c>
      <c r="C1119" t="s">
        <v>49</v>
      </c>
      <c r="D1119" t="s">
        <v>51</v>
      </c>
      <c r="E1119" t="s">
        <v>51</v>
      </c>
      <c r="F1119" t="s">
        <v>51</v>
      </c>
      <c r="G1119" t="s">
        <v>52</v>
      </c>
      <c r="H1119" t="s">
        <v>52</v>
      </c>
      <c r="I1119" t="s">
        <v>52</v>
      </c>
      <c r="J1119" t="s">
        <v>590</v>
      </c>
      <c r="K1119" t="s">
        <v>52</v>
      </c>
      <c r="L1119" t="s">
        <v>677</v>
      </c>
      <c r="M1119" t="s">
        <v>654</v>
      </c>
      <c r="N1119" t="s">
        <v>163</v>
      </c>
      <c r="O1119" t="s">
        <v>678</v>
      </c>
      <c r="P1119" t="s">
        <v>678</v>
      </c>
      <c r="Q1119" t="s">
        <v>51</v>
      </c>
      <c r="R1119" t="s">
        <v>51</v>
      </c>
      <c r="S1119" t="s">
        <v>51</v>
      </c>
      <c r="T1119" t="s">
        <v>51</v>
      </c>
    </row>
    <row r="1120" spans="1:20">
      <c r="A1120" t="s">
        <v>628</v>
      </c>
      <c r="B1120" t="s">
        <v>109</v>
      </c>
      <c r="C1120" t="s">
        <v>49</v>
      </c>
      <c r="D1120" t="s">
        <v>51</v>
      </c>
      <c r="E1120" t="s">
        <v>51</v>
      </c>
      <c r="F1120" t="s">
        <v>51</v>
      </c>
      <c r="G1120" t="s">
        <v>52</v>
      </c>
      <c r="H1120" t="s">
        <v>52</v>
      </c>
      <c r="I1120" t="s">
        <v>52</v>
      </c>
      <c r="J1120" t="s">
        <v>590</v>
      </c>
      <c r="K1120" t="s">
        <v>52</v>
      </c>
      <c r="L1120" t="s">
        <v>677</v>
      </c>
      <c r="M1120" t="s">
        <v>654</v>
      </c>
      <c r="N1120" t="s">
        <v>163</v>
      </c>
      <c r="O1120" t="s">
        <v>678</v>
      </c>
      <c r="P1120" t="s">
        <v>678</v>
      </c>
      <c r="Q1120" t="s">
        <v>51</v>
      </c>
      <c r="R1120" t="s">
        <v>51</v>
      </c>
      <c r="S1120" t="s">
        <v>51</v>
      </c>
      <c r="T1120" t="s">
        <v>51</v>
      </c>
    </row>
    <row r="1121" spans="1:20">
      <c r="A1121" t="s">
        <v>629</v>
      </c>
      <c r="B1121" t="s">
        <v>111</v>
      </c>
      <c r="C1121" t="s">
        <v>49</v>
      </c>
      <c r="D1121" t="s">
        <v>51</v>
      </c>
      <c r="E1121" t="s">
        <v>51</v>
      </c>
      <c r="F1121" t="s">
        <v>51</v>
      </c>
      <c r="G1121" t="s">
        <v>52</v>
      </c>
      <c r="H1121" t="s">
        <v>52</v>
      </c>
      <c r="I1121" t="s">
        <v>52</v>
      </c>
      <c r="J1121" t="s">
        <v>590</v>
      </c>
      <c r="K1121" t="s">
        <v>52</v>
      </c>
      <c r="L1121" t="s">
        <v>677</v>
      </c>
      <c r="M1121" t="s">
        <v>654</v>
      </c>
      <c r="N1121" t="s">
        <v>163</v>
      </c>
      <c r="O1121" t="s">
        <v>678</v>
      </c>
      <c r="P1121" t="s">
        <v>678</v>
      </c>
      <c r="Q1121" t="s">
        <v>51</v>
      </c>
      <c r="R1121" t="s">
        <v>51</v>
      </c>
      <c r="S1121" t="s">
        <v>51</v>
      </c>
      <c r="T1121" t="s">
        <v>51</v>
      </c>
    </row>
    <row r="1122" spans="1:20">
      <c r="A1122" t="s">
        <v>630</v>
      </c>
      <c r="B1122" t="s">
        <v>113</v>
      </c>
      <c r="C1122" t="s">
        <v>49</v>
      </c>
      <c r="D1122" t="s">
        <v>51</v>
      </c>
      <c r="E1122" t="s">
        <v>51</v>
      </c>
      <c r="F1122" t="s">
        <v>51</v>
      </c>
      <c r="G1122" t="s">
        <v>52</v>
      </c>
      <c r="H1122" t="s">
        <v>52</v>
      </c>
      <c r="I1122" t="s">
        <v>52</v>
      </c>
      <c r="J1122" t="s">
        <v>590</v>
      </c>
      <c r="K1122" t="s">
        <v>52</v>
      </c>
      <c r="L1122" t="s">
        <v>677</v>
      </c>
      <c r="M1122" t="s">
        <v>654</v>
      </c>
      <c r="N1122" t="s">
        <v>163</v>
      </c>
      <c r="O1122" t="s">
        <v>678</v>
      </c>
      <c r="P1122" t="s">
        <v>678</v>
      </c>
      <c r="Q1122" t="s">
        <v>51</v>
      </c>
      <c r="R1122" t="s">
        <v>51</v>
      </c>
      <c r="S1122" t="s">
        <v>51</v>
      </c>
      <c r="T1122" t="s">
        <v>51</v>
      </c>
    </row>
    <row r="1123" spans="1:20">
      <c r="A1123" t="s">
        <v>631</v>
      </c>
      <c r="B1123" t="s">
        <v>115</v>
      </c>
      <c r="C1123" t="s">
        <v>49</v>
      </c>
      <c r="D1123" t="s">
        <v>51</v>
      </c>
      <c r="E1123" t="s">
        <v>51</v>
      </c>
      <c r="F1123" t="s">
        <v>51</v>
      </c>
      <c r="G1123" t="s">
        <v>52</v>
      </c>
      <c r="H1123" t="s">
        <v>52</v>
      </c>
      <c r="I1123" t="s">
        <v>52</v>
      </c>
      <c r="J1123" t="s">
        <v>590</v>
      </c>
      <c r="K1123" t="s">
        <v>52</v>
      </c>
      <c r="L1123" t="s">
        <v>677</v>
      </c>
      <c r="M1123" t="s">
        <v>654</v>
      </c>
      <c r="N1123" t="s">
        <v>163</v>
      </c>
      <c r="O1123" t="s">
        <v>678</v>
      </c>
      <c r="P1123" t="s">
        <v>678</v>
      </c>
      <c r="Q1123" t="s">
        <v>51</v>
      </c>
      <c r="R1123" t="s">
        <v>51</v>
      </c>
      <c r="S1123" t="s">
        <v>51</v>
      </c>
      <c r="T1123" t="s">
        <v>51</v>
      </c>
    </row>
    <row r="1124" spans="1:20">
      <c r="A1124" t="s">
        <v>632</v>
      </c>
      <c r="B1124" t="s">
        <v>117</v>
      </c>
      <c r="C1124" t="s">
        <v>49</v>
      </c>
      <c r="D1124" t="s">
        <v>51</v>
      </c>
      <c r="E1124" t="s">
        <v>51</v>
      </c>
      <c r="F1124" t="s">
        <v>51</v>
      </c>
      <c r="G1124" t="s">
        <v>52</v>
      </c>
      <c r="H1124" t="s">
        <v>52</v>
      </c>
      <c r="I1124" t="s">
        <v>52</v>
      </c>
      <c r="J1124" t="s">
        <v>590</v>
      </c>
      <c r="K1124" t="s">
        <v>52</v>
      </c>
      <c r="L1124" t="s">
        <v>677</v>
      </c>
      <c r="M1124" t="s">
        <v>654</v>
      </c>
      <c r="N1124" t="s">
        <v>163</v>
      </c>
      <c r="O1124" t="s">
        <v>678</v>
      </c>
      <c r="P1124" t="s">
        <v>678</v>
      </c>
      <c r="Q1124" t="s">
        <v>51</v>
      </c>
      <c r="R1124" t="s">
        <v>51</v>
      </c>
      <c r="S1124" t="s">
        <v>51</v>
      </c>
      <c r="T1124" t="s">
        <v>51</v>
      </c>
    </row>
    <row r="1125" spans="1:20">
      <c r="A1125" t="s">
        <v>633</v>
      </c>
      <c r="B1125" t="s">
        <v>119</v>
      </c>
      <c r="C1125" t="s">
        <v>49</v>
      </c>
      <c r="D1125" t="s">
        <v>51</v>
      </c>
      <c r="E1125" t="s">
        <v>51</v>
      </c>
      <c r="F1125" t="s">
        <v>51</v>
      </c>
      <c r="G1125" t="s">
        <v>52</v>
      </c>
      <c r="H1125" t="s">
        <v>52</v>
      </c>
      <c r="I1125" t="s">
        <v>52</v>
      </c>
      <c r="J1125" t="s">
        <v>590</v>
      </c>
      <c r="K1125" t="s">
        <v>52</v>
      </c>
      <c r="L1125" t="s">
        <v>677</v>
      </c>
      <c r="M1125" t="s">
        <v>654</v>
      </c>
      <c r="N1125" t="s">
        <v>163</v>
      </c>
      <c r="O1125" t="s">
        <v>678</v>
      </c>
      <c r="P1125" t="s">
        <v>678</v>
      </c>
      <c r="Q1125" t="s">
        <v>51</v>
      </c>
      <c r="R1125" t="s">
        <v>51</v>
      </c>
      <c r="S1125" t="s">
        <v>51</v>
      </c>
      <c r="T1125" t="s">
        <v>51</v>
      </c>
    </row>
    <row r="1126" spans="1:20">
      <c r="A1126" t="s">
        <v>634</v>
      </c>
      <c r="B1126" t="s">
        <v>121</v>
      </c>
      <c r="C1126" t="s">
        <v>49</v>
      </c>
      <c r="D1126" t="s">
        <v>51</v>
      </c>
      <c r="E1126" t="s">
        <v>51</v>
      </c>
      <c r="F1126" t="s">
        <v>51</v>
      </c>
      <c r="G1126" t="s">
        <v>52</v>
      </c>
      <c r="H1126" t="s">
        <v>52</v>
      </c>
      <c r="I1126" t="s">
        <v>52</v>
      </c>
      <c r="J1126" t="s">
        <v>590</v>
      </c>
      <c r="K1126" t="s">
        <v>52</v>
      </c>
      <c r="L1126" t="s">
        <v>677</v>
      </c>
      <c r="M1126" t="s">
        <v>654</v>
      </c>
      <c r="N1126" t="s">
        <v>163</v>
      </c>
      <c r="O1126" t="s">
        <v>678</v>
      </c>
      <c r="P1126" t="s">
        <v>678</v>
      </c>
      <c r="Q1126" t="s">
        <v>51</v>
      </c>
      <c r="R1126" t="s">
        <v>51</v>
      </c>
      <c r="S1126" t="s">
        <v>51</v>
      </c>
      <c r="T1126" t="s">
        <v>51</v>
      </c>
    </row>
    <row r="1127" spans="1:20">
      <c r="A1127" t="s">
        <v>635</v>
      </c>
      <c r="B1127" t="s">
        <v>123</v>
      </c>
      <c r="C1127" t="s">
        <v>49</v>
      </c>
      <c r="D1127" t="s">
        <v>51</v>
      </c>
      <c r="E1127" t="s">
        <v>51</v>
      </c>
      <c r="F1127" t="s">
        <v>51</v>
      </c>
      <c r="G1127" t="s">
        <v>52</v>
      </c>
      <c r="H1127" t="s">
        <v>52</v>
      </c>
      <c r="I1127" t="s">
        <v>52</v>
      </c>
      <c r="J1127" t="s">
        <v>590</v>
      </c>
      <c r="K1127" t="s">
        <v>52</v>
      </c>
      <c r="L1127" t="s">
        <v>677</v>
      </c>
      <c r="M1127" t="s">
        <v>654</v>
      </c>
      <c r="N1127" t="s">
        <v>163</v>
      </c>
      <c r="O1127" t="s">
        <v>678</v>
      </c>
      <c r="P1127" t="s">
        <v>678</v>
      </c>
      <c r="Q1127" t="s">
        <v>51</v>
      </c>
      <c r="R1127" t="s">
        <v>51</v>
      </c>
      <c r="S1127" t="s">
        <v>51</v>
      </c>
      <c r="T1127" t="s">
        <v>51</v>
      </c>
    </row>
    <row r="1128" spans="1:20">
      <c r="A1128" t="s">
        <v>636</v>
      </c>
      <c r="B1128" t="s">
        <v>125</v>
      </c>
      <c r="C1128" t="s">
        <v>49</v>
      </c>
      <c r="D1128" t="s">
        <v>51</v>
      </c>
      <c r="E1128" t="s">
        <v>51</v>
      </c>
      <c r="F1128" t="s">
        <v>51</v>
      </c>
      <c r="G1128" t="s">
        <v>52</v>
      </c>
      <c r="H1128" t="s">
        <v>52</v>
      </c>
      <c r="I1128" t="s">
        <v>52</v>
      </c>
      <c r="J1128" t="s">
        <v>590</v>
      </c>
      <c r="K1128" t="s">
        <v>52</v>
      </c>
      <c r="L1128" t="s">
        <v>677</v>
      </c>
      <c r="M1128" t="s">
        <v>654</v>
      </c>
      <c r="N1128" t="s">
        <v>163</v>
      </c>
      <c r="O1128" t="s">
        <v>678</v>
      </c>
      <c r="P1128" t="s">
        <v>678</v>
      </c>
      <c r="Q1128" t="s">
        <v>51</v>
      </c>
      <c r="R1128" t="s">
        <v>51</v>
      </c>
      <c r="S1128" t="s">
        <v>51</v>
      </c>
      <c r="T1128" t="s">
        <v>51</v>
      </c>
    </row>
    <row r="1129" spans="1:20">
      <c r="A1129" t="s">
        <v>637</v>
      </c>
      <c r="B1129" t="s">
        <v>127</v>
      </c>
      <c r="C1129" t="s">
        <v>49</v>
      </c>
      <c r="D1129" t="s">
        <v>51</v>
      </c>
      <c r="E1129" t="s">
        <v>51</v>
      </c>
      <c r="F1129" t="s">
        <v>51</v>
      </c>
      <c r="G1129" t="s">
        <v>52</v>
      </c>
      <c r="H1129" t="s">
        <v>52</v>
      </c>
      <c r="I1129" t="s">
        <v>52</v>
      </c>
      <c r="J1129" t="s">
        <v>590</v>
      </c>
      <c r="K1129" t="s">
        <v>52</v>
      </c>
      <c r="L1129" t="s">
        <v>677</v>
      </c>
      <c r="M1129" t="s">
        <v>654</v>
      </c>
      <c r="N1129" t="s">
        <v>163</v>
      </c>
      <c r="O1129" t="s">
        <v>678</v>
      </c>
      <c r="P1129" t="s">
        <v>678</v>
      </c>
      <c r="Q1129" t="s">
        <v>51</v>
      </c>
      <c r="R1129" t="s">
        <v>51</v>
      </c>
      <c r="S1129" t="s">
        <v>51</v>
      </c>
      <c r="T1129" t="s">
        <v>51</v>
      </c>
    </row>
    <row r="1130" spans="1:20">
      <c r="A1130" t="s">
        <v>638</v>
      </c>
      <c r="B1130" t="s">
        <v>129</v>
      </c>
      <c r="C1130" t="s">
        <v>49</v>
      </c>
      <c r="D1130" t="s">
        <v>51</v>
      </c>
      <c r="E1130" t="s">
        <v>51</v>
      </c>
      <c r="F1130" t="s">
        <v>51</v>
      </c>
      <c r="G1130" t="s">
        <v>52</v>
      </c>
      <c r="H1130" t="s">
        <v>52</v>
      </c>
      <c r="I1130" t="s">
        <v>52</v>
      </c>
      <c r="J1130" t="s">
        <v>590</v>
      </c>
      <c r="K1130" t="s">
        <v>52</v>
      </c>
      <c r="L1130" t="s">
        <v>677</v>
      </c>
      <c r="M1130" t="s">
        <v>654</v>
      </c>
      <c r="N1130" t="s">
        <v>163</v>
      </c>
      <c r="O1130" t="s">
        <v>678</v>
      </c>
      <c r="P1130" t="s">
        <v>678</v>
      </c>
      <c r="Q1130" t="s">
        <v>51</v>
      </c>
      <c r="R1130" t="s">
        <v>51</v>
      </c>
      <c r="S1130" t="s">
        <v>51</v>
      </c>
      <c r="T1130" t="s">
        <v>51</v>
      </c>
    </row>
    <row r="1131" spans="1:20">
      <c r="A1131" t="s">
        <v>639</v>
      </c>
      <c r="B1131" t="s">
        <v>131</v>
      </c>
      <c r="C1131" t="s">
        <v>49</v>
      </c>
      <c r="D1131" t="s">
        <v>51</v>
      </c>
      <c r="E1131" t="s">
        <v>51</v>
      </c>
      <c r="F1131" t="s">
        <v>51</v>
      </c>
      <c r="G1131" t="s">
        <v>52</v>
      </c>
      <c r="H1131" t="s">
        <v>52</v>
      </c>
      <c r="I1131" t="s">
        <v>52</v>
      </c>
      <c r="J1131" t="s">
        <v>590</v>
      </c>
      <c r="K1131" t="s">
        <v>52</v>
      </c>
      <c r="L1131" t="s">
        <v>677</v>
      </c>
      <c r="M1131" t="s">
        <v>654</v>
      </c>
      <c r="N1131" t="s">
        <v>163</v>
      </c>
      <c r="O1131" t="s">
        <v>678</v>
      </c>
      <c r="P1131" t="s">
        <v>678</v>
      </c>
      <c r="Q1131" t="s">
        <v>51</v>
      </c>
      <c r="R1131" t="s">
        <v>51</v>
      </c>
      <c r="S1131" t="s">
        <v>51</v>
      </c>
      <c r="T1131" t="s">
        <v>51</v>
      </c>
    </row>
    <row r="1132" spans="1:20">
      <c r="A1132" t="s">
        <v>640</v>
      </c>
      <c r="B1132" t="s">
        <v>133</v>
      </c>
      <c r="C1132" t="s">
        <v>49</v>
      </c>
      <c r="D1132" t="s">
        <v>51</v>
      </c>
      <c r="E1132" t="s">
        <v>51</v>
      </c>
      <c r="F1132" t="s">
        <v>51</v>
      </c>
      <c r="G1132" t="s">
        <v>52</v>
      </c>
      <c r="H1132" t="s">
        <v>52</v>
      </c>
      <c r="I1132" t="s">
        <v>52</v>
      </c>
      <c r="J1132" t="s">
        <v>590</v>
      </c>
      <c r="K1132" t="s">
        <v>52</v>
      </c>
      <c r="L1132" t="s">
        <v>677</v>
      </c>
      <c r="M1132" t="s">
        <v>654</v>
      </c>
      <c r="N1132" t="s">
        <v>163</v>
      </c>
      <c r="O1132" t="s">
        <v>678</v>
      </c>
      <c r="P1132" t="s">
        <v>678</v>
      </c>
      <c r="Q1132" t="s">
        <v>51</v>
      </c>
      <c r="R1132" t="s">
        <v>51</v>
      </c>
      <c r="S1132" t="s">
        <v>51</v>
      </c>
      <c r="T1132" t="s">
        <v>51</v>
      </c>
    </row>
    <row r="1133" spans="1:20">
      <c r="A1133" t="s">
        <v>641</v>
      </c>
      <c r="B1133" t="s">
        <v>135</v>
      </c>
      <c r="C1133" t="s">
        <v>49</v>
      </c>
      <c r="D1133" t="s">
        <v>51</v>
      </c>
      <c r="E1133" t="s">
        <v>51</v>
      </c>
      <c r="F1133" t="s">
        <v>51</v>
      </c>
      <c r="G1133" t="s">
        <v>52</v>
      </c>
      <c r="H1133" t="s">
        <v>52</v>
      </c>
      <c r="I1133" t="s">
        <v>52</v>
      </c>
      <c r="J1133" t="s">
        <v>590</v>
      </c>
      <c r="K1133" t="s">
        <v>52</v>
      </c>
      <c r="L1133" t="s">
        <v>677</v>
      </c>
      <c r="M1133" t="s">
        <v>654</v>
      </c>
      <c r="N1133" t="s">
        <v>163</v>
      </c>
      <c r="O1133" t="s">
        <v>678</v>
      </c>
      <c r="P1133" t="s">
        <v>678</v>
      </c>
      <c r="Q1133" t="s">
        <v>51</v>
      </c>
      <c r="R1133" t="s">
        <v>51</v>
      </c>
      <c r="S1133" t="s">
        <v>51</v>
      </c>
      <c r="T1133" t="s">
        <v>51</v>
      </c>
    </row>
    <row r="1134" spans="1:20">
      <c r="A1134" t="s">
        <v>642</v>
      </c>
      <c r="B1134" t="s">
        <v>137</v>
      </c>
      <c r="C1134" t="s">
        <v>49</v>
      </c>
      <c r="D1134" t="s">
        <v>51</v>
      </c>
      <c r="E1134" t="s">
        <v>51</v>
      </c>
      <c r="F1134" t="s">
        <v>51</v>
      </c>
      <c r="G1134" t="s">
        <v>52</v>
      </c>
      <c r="H1134" t="s">
        <v>52</v>
      </c>
      <c r="I1134" t="s">
        <v>52</v>
      </c>
      <c r="J1134" t="s">
        <v>590</v>
      </c>
      <c r="K1134" t="s">
        <v>52</v>
      </c>
      <c r="L1134" t="s">
        <v>677</v>
      </c>
      <c r="M1134" t="s">
        <v>654</v>
      </c>
      <c r="N1134" t="s">
        <v>163</v>
      </c>
      <c r="O1134" t="s">
        <v>678</v>
      </c>
      <c r="P1134" t="s">
        <v>678</v>
      </c>
      <c r="Q1134" t="s">
        <v>51</v>
      </c>
      <c r="R1134" t="s">
        <v>51</v>
      </c>
      <c r="S1134" t="s">
        <v>51</v>
      </c>
      <c r="T1134" t="s">
        <v>51</v>
      </c>
    </row>
    <row r="1135" spans="1:20">
      <c r="A1135" t="s">
        <v>643</v>
      </c>
      <c r="B1135" t="s">
        <v>139</v>
      </c>
      <c r="C1135" t="s">
        <v>49</v>
      </c>
      <c r="D1135" t="s">
        <v>51</v>
      </c>
      <c r="E1135" t="s">
        <v>51</v>
      </c>
      <c r="F1135" t="s">
        <v>51</v>
      </c>
      <c r="G1135" t="s">
        <v>52</v>
      </c>
      <c r="H1135" t="s">
        <v>52</v>
      </c>
      <c r="I1135" t="s">
        <v>52</v>
      </c>
      <c r="J1135" t="s">
        <v>590</v>
      </c>
      <c r="K1135" t="s">
        <v>52</v>
      </c>
      <c r="L1135" t="s">
        <v>677</v>
      </c>
      <c r="M1135" t="s">
        <v>654</v>
      </c>
      <c r="N1135" t="s">
        <v>163</v>
      </c>
      <c r="O1135" t="s">
        <v>678</v>
      </c>
      <c r="P1135" t="s">
        <v>678</v>
      </c>
      <c r="Q1135" t="s">
        <v>51</v>
      </c>
      <c r="R1135" t="s">
        <v>51</v>
      </c>
      <c r="S1135" t="s">
        <v>51</v>
      </c>
      <c r="T1135" t="s">
        <v>51</v>
      </c>
    </row>
    <row r="1136" spans="1:20">
      <c r="A1136" t="s">
        <v>644</v>
      </c>
      <c r="B1136" t="s">
        <v>141</v>
      </c>
      <c r="C1136" t="s">
        <v>49</v>
      </c>
      <c r="D1136" t="s">
        <v>51</v>
      </c>
      <c r="E1136" t="s">
        <v>51</v>
      </c>
      <c r="F1136" t="s">
        <v>51</v>
      </c>
      <c r="G1136" t="s">
        <v>52</v>
      </c>
      <c r="H1136" t="s">
        <v>52</v>
      </c>
      <c r="I1136" t="s">
        <v>52</v>
      </c>
      <c r="J1136" t="s">
        <v>590</v>
      </c>
      <c r="K1136" t="s">
        <v>52</v>
      </c>
      <c r="L1136" t="s">
        <v>677</v>
      </c>
      <c r="M1136" t="s">
        <v>654</v>
      </c>
      <c r="N1136" t="s">
        <v>163</v>
      </c>
      <c r="O1136" t="s">
        <v>678</v>
      </c>
      <c r="P1136" t="s">
        <v>678</v>
      </c>
      <c r="Q1136" t="s">
        <v>51</v>
      </c>
      <c r="R1136" t="s">
        <v>51</v>
      </c>
      <c r="S1136" t="s">
        <v>51</v>
      </c>
      <c r="T1136" t="s">
        <v>51</v>
      </c>
    </row>
    <row r="1137" spans="1:20">
      <c r="A1137" t="s">
        <v>645</v>
      </c>
      <c r="B1137" t="s">
        <v>143</v>
      </c>
      <c r="C1137" t="s">
        <v>49</v>
      </c>
      <c r="D1137" t="s">
        <v>51</v>
      </c>
      <c r="E1137" t="s">
        <v>51</v>
      </c>
      <c r="F1137" t="s">
        <v>51</v>
      </c>
      <c r="G1137" t="s">
        <v>52</v>
      </c>
      <c r="H1137" t="s">
        <v>52</v>
      </c>
      <c r="I1137" t="s">
        <v>52</v>
      </c>
      <c r="J1137" t="s">
        <v>590</v>
      </c>
      <c r="K1137" t="s">
        <v>52</v>
      </c>
      <c r="L1137" t="s">
        <v>677</v>
      </c>
      <c r="M1137" t="s">
        <v>654</v>
      </c>
      <c r="N1137" t="s">
        <v>163</v>
      </c>
      <c r="O1137" t="s">
        <v>678</v>
      </c>
      <c r="P1137" t="s">
        <v>678</v>
      </c>
      <c r="Q1137" t="s">
        <v>51</v>
      </c>
      <c r="R1137" t="s">
        <v>51</v>
      </c>
      <c r="S1137" t="s">
        <v>51</v>
      </c>
      <c r="T1137" t="s">
        <v>51</v>
      </c>
    </row>
    <row r="1138" spans="1:20">
      <c r="A1138" t="s">
        <v>646</v>
      </c>
      <c r="B1138" t="s">
        <v>145</v>
      </c>
      <c r="C1138" t="s">
        <v>49</v>
      </c>
      <c r="D1138" t="s">
        <v>51</v>
      </c>
      <c r="E1138" t="s">
        <v>51</v>
      </c>
      <c r="F1138" t="s">
        <v>51</v>
      </c>
      <c r="G1138" t="s">
        <v>52</v>
      </c>
      <c r="H1138" t="s">
        <v>52</v>
      </c>
      <c r="I1138" t="s">
        <v>52</v>
      </c>
      <c r="J1138" t="s">
        <v>590</v>
      </c>
      <c r="K1138" t="s">
        <v>52</v>
      </c>
      <c r="L1138" t="s">
        <v>677</v>
      </c>
      <c r="M1138" t="s">
        <v>654</v>
      </c>
      <c r="N1138" t="s">
        <v>163</v>
      </c>
      <c r="O1138" t="s">
        <v>678</v>
      </c>
      <c r="P1138" t="s">
        <v>678</v>
      </c>
      <c r="Q1138" t="s">
        <v>51</v>
      </c>
      <c r="R1138" t="s">
        <v>51</v>
      </c>
      <c r="S1138" t="s">
        <v>51</v>
      </c>
      <c r="T1138" t="s">
        <v>51</v>
      </c>
    </row>
    <row r="1139" spans="1:20">
      <c r="A1139" t="s">
        <v>647</v>
      </c>
      <c r="B1139" t="s">
        <v>147</v>
      </c>
      <c r="C1139" t="s">
        <v>49</v>
      </c>
      <c r="D1139" t="s">
        <v>51</v>
      </c>
      <c r="E1139" t="s">
        <v>51</v>
      </c>
      <c r="F1139" t="s">
        <v>51</v>
      </c>
      <c r="G1139" t="s">
        <v>52</v>
      </c>
      <c r="H1139" t="s">
        <v>52</v>
      </c>
      <c r="I1139" t="s">
        <v>52</v>
      </c>
      <c r="J1139" t="s">
        <v>590</v>
      </c>
      <c r="K1139" t="s">
        <v>52</v>
      </c>
      <c r="L1139" t="s">
        <v>677</v>
      </c>
      <c r="M1139" t="s">
        <v>654</v>
      </c>
      <c r="N1139" t="s">
        <v>163</v>
      </c>
      <c r="O1139" t="s">
        <v>678</v>
      </c>
      <c r="P1139" t="s">
        <v>678</v>
      </c>
      <c r="Q1139" t="s">
        <v>51</v>
      </c>
      <c r="R1139" t="s">
        <v>51</v>
      </c>
      <c r="S1139" t="s">
        <v>51</v>
      </c>
      <c r="T1139" t="s">
        <v>51</v>
      </c>
    </row>
    <row r="1140" spans="1:20">
      <c r="A1140" t="s">
        <v>648</v>
      </c>
      <c r="B1140" t="s">
        <v>149</v>
      </c>
      <c r="C1140" t="s">
        <v>49</v>
      </c>
      <c r="D1140" t="s">
        <v>51</v>
      </c>
      <c r="E1140" t="s">
        <v>51</v>
      </c>
      <c r="F1140" t="s">
        <v>51</v>
      </c>
      <c r="G1140" t="s">
        <v>52</v>
      </c>
      <c r="H1140" t="s">
        <v>52</v>
      </c>
      <c r="I1140" t="s">
        <v>52</v>
      </c>
      <c r="J1140" t="s">
        <v>590</v>
      </c>
      <c r="K1140" t="s">
        <v>52</v>
      </c>
      <c r="L1140" t="s">
        <v>677</v>
      </c>
      <c r="M1140" t="s">
        <v>654</v>
      </c>
      <c r="N1140" t="s">
        <v>163</v>
      </c>
      <c r="O1140" t="s">
        <v>678</v>
      </c>
      <c r="P1140" t="s">
        <v>678</v>
      </c>
      <c r="Q1140" t="s">
        <v>51</v>
      </c>
      <c r="R1140" t="s">
        <v>51</v>
      </c>
      <c r="S1140" t="s">
        <v>51</v>
      </c>
      <c r="T1140" t="s">
        <v>51</v>
      </c>
    </row>
    <row r="1141" spans="1:20">
      <c r="A1141" t="s">
        <v>649</v>
      </c>
      <c r="B1141" t="s">
        <v>151</v>
      </c>
      <c r="C1141" t="s">
        <v>49</v>
      </c>
      <c r="D1141" t="s">
        <v>51</v>
      </c>
      <c r="E1141" t="s">
        <v>51</v>
      </c>
      <c r="F1141" t="s">
        <v>51</v>
      </c>
      <c r="G1141" t="s">
        <v>52</v>
      </c>
      <c r="H1141" t="s">
        <v>52</v>
      </c>
      <c r="I1141" t="s">
        <v>52</v>
      </c>
      <c r="J1141" t="s">
        <v>590</v>
      </c>
      <c r="K1141" t="s">
        <v>52</v>
      </c>
      <c r="L1141" t="s">
        <v>677</v>
      </c>
      <c r="M1141" t="s">
        <v>654</v>
      </c>
      <c r="N1141" t="s">
        <v>163</v>
      </c>
      <c r="O1141" t="s">
        <v>678</v>
      </c>
      <c r="P1141" t="s">
        <v>678</v>
      </c>
      <c r="Q1141" t="s">
        <v>51</v>
      </c>
      <c r="R1141" t="s">
        <v>51</v>
      </c>
      <c r="S1141" t="s">
        <v>51</v>
      </c>
      <c r="T1141" t="s">
        <v>51</v>
      </c>
    </row>
    <row r="1142" spans="1:20">
      <c r="A1142" t="s">
        <v>650</v>
      </c>
      <c r="B1142" t="s">
        <v>153</v>
      </c>
      <c r="C1142" t="s">
        <v>49</v>
      </c>
      <c r="D1142" t="s">
        <v>51</v>
      </c>
      <c r="E1142" t="s">
        <v>51</v>
      </c>
      <c r="F1142" t="s">
        <v>51</v>
      </c>
      <c r="G1142" t="s">
        <v>52</v>
      </c>
      <c r="H1142" t="s">
        <v>52</v>
      </c>
      <c r="I1142" t="s">
        <v>52</v>
      </c>
      <c r="J1142" t="s">
        <v>590</v>
      </c>
      <c r="K1142" t="s">
        <v>52</v>
      </c>
      <c r="L1142" t="s">
        <v>677</v>
      </c>
      <c r="M1142" t="s">
        <v>654</v>
      </c>
      <c r="N1142" t="s">
        <v>163</v>
      </c>
      <c r="O1142" t="s">
        <v>678</v>
      </c>
      <c r="P1142" t="s">
        <v>678</v>
      </c>
      <c r="Q1142" t="s">
        <v>51</v>
      </c>
      <c r="R1142" t="s">
        <v>51</v>
      </c>
      <c r="S1142" t="s">
        <v>51</v>
      </c>
      <c r="T1142" t="s">
        <v>51</v>
      </c>
    </row>
    <row r="1143" spans="1:20">
      <c r="A1143" t="s">
        <v>588</v>
      </c>
      <c r="B1143" t="s">
        <v>589</v>
      </c>
      <c r="C1143" t="s">
        <v>165</v>
      </c>
      <c r="D1143" t="s">
        <v>50</v>
      </c>
      <c r="E1143" t="s">
        <v>51</v>
      </c>
      <c r="F1143" t="s">
        <v>51</v>
      </c>
      <c r="G1143" t="s">
        <v>52</v>
      </c>
      <c r="H1143" t="s">
        <v>52</v>
      </c>
      <c r="I1143" t="s">
        <v>52</v>
      </c>
      <c r="J1143" t="s">
        <v>52</v>
      </c>
      <c r="K1143" t="s">
        <v>52</v>
      </c>
      <c r="L1143" t="s">
        <v>679</v>
      </c>
      <c r="M1143" t="s">
        <v>654</v>
      </c>
      <c r="N1143" t="s">
        <v>163</v>
      </c>
      <c r="O1143" t="s">
        <v>680</v>
      </c>
      <c r="P1143" t="s">
        <v>680</v>
      </c>
      <c r="Q1143" t="s">
        <v>51</v>
      </c>
      <c r="R1143" t="s">
        <v>51</v>
      </c>
      <c r="S1143" t="s">
        <v>51</v>
      </c>
      <c r="T1143" t="s">
        <v>51</v>
      </c>
    </row>
    <row r="1144" spans="1:20">
      <c r="A1144" t="s">
        <v>620</v>
      </c>
      <c r="B1144" t="s">
        <v>93</v>
      </c>
      <c r="C1144" t="s">
        <v>49</v>
      </c>
      <c r="D1144" t="s">
        <v>51</v>
      </c>
      <c r="E1144" t="s">
        <v>51</v>
      </c>
      <c r="F1144" t="s">
        <v>51</v>
      </c>
      <c r="G1144" t="s">
        <v>52</v>
      </c>
      <c r="H1144" t="s">
        <v>52</v>
      </c>
      <c r="I1144" t="s">
        <v>52</v>
      </c>
      <c r="J1144" t="s">
        <v>590</v>
      </c>
      <c r="K1144" t="s">
        <v>52</v>
      </c>
      <c r="L1144" t="s">
        <v>679</v>
      </c>
      <c r="M1144" t="s">
        <v>654</v>
      </c>
      <c r="N1144" t="s">
        <v>163</v>
      </c>
      <c r="O1144" t="s">
        <v>680</v>
      </c>
      <c r="P1144" t="s">
        <v>680</v>
      </c>
      <c r="Q1144" t="s">
        <v>51</v>
      </c>
      <c r="R1144" t="s">
        <v>51</v>
      </c>
      <c r="S1144" t="s">
        <v>51</v>
      </c>
      <c r="T1144" t="s">
        <v>51</v>
      </c>
    </row>
    <row r="1145" spans="1:20">
      <c r="A1145" t="s">
        <v>621</v>
      </c>
      <c r="B1145" t="s">
        <v>95</v>
      </c>
      <c r="C1145" t="s">
        <v>49</v>
      </c>
      <c r="D1145" t="s">
        <v>51</v>
      </c>
      <c r="E1145" t="s">
        <v>51</v>
      </c>
      <c r="F1145" t="s">
        <v>51</v>
      </c>
      <c r="G1145" t="s">
        <v>52</v>
      </c>
      <c r="H1145" t="s">
        <v>52</v>
      </c>
      <c r="I1145" t="s">
        <v>52</v>
      </c>
      <c r="J1145" t="s">
        <v>590</v>
      </c>
      <c r="K1145" t="s">
        <v>52</v>
      </c>
      <c r="L1145" t="s">
        <v>679</v>
      </c>
      <c r="M1145" t="s">
        <v>654</v>
      </c>
      <c r="N1145" t="s">
        <v>163</v>
      </c>
      <c r="O1145" t="s">
        <v>680</v>
      </c>
      <c r="P1145" t="s">
        <v>680</v>
      </c>
      <c r="Q1145" t="s">
        <v>51</v>
      </c>
      <c r="R1145" t="s">
        <v>51</v>
      </c>
      <c r="S1145" t="s">
        <v>51</v>
      </c>
      <c r="T1145" t="s">
        <v>51</v>
      </c>
    </row>
    <row r="1146" spans="1:20">
      <c r="A1146" t="s">
        <v>622</v>
      </c>
      <c r="B1146" t="s">
        <v>97</v>
      </c>
      <c r="C1146" t="s">
        <v>49</v>
      </c>
      <c r="D1146" t="s">
        <v>51</v>
      </c>
      <c r="E1146" t="s">
        <v>51</v>
      </c>
      <c r="F1146" t="s">
        <v>51</v>
      </c>
      <c r="G1146" t="s">
        <v>52</v>
      </c>
      <c r="H1146" t="s">
        <v>52</v>
      </c>
      <c r="I1146" t="s">
        <v>52</v>
      </c>
      <c r="J1146" t="s">
        <v>590</v>
      </c>
      <c r="K1146" t="s">
        <v>52</v>
      </c>
      <c r="L1146" t="s">
        <v>679</v>
      </c>
      <c r="M1146" t="s">
        <v>654</v>
      </c>
      <c r="N1146" t="s">
        <v>163</v>
      </c>
      <c r="O1146" t="s">
        <v>680</v>
      </c>
      <c r="P1146" t="s">
        <v>680</v>
      </c>
      <c r="Q1146" t="s">
        <v>51</v>
      </c>
      <c r="R1146" t="s">
        <v>51</v>
      </c>
      <c r="S1146" t="s">
        <v>51</v>
      </c>
      <c r="T1146" t="s">
        <v>51</v>
      </c>
    </row>
    <row r="1147" spans="1:20">
      <c r="A1147" t="s">
        <v>623</v>
      </c>
      <c r="B1147" t="s">
        <v>99</v>
      </c>
      <c r="C1147" t="s">
        <v>49</v>
      </c>
      <c r="D1147" t="s">
        <v>51</v>
      </c>
      <c r="E1147" t="s">
        <v>51</v>
      </c>
      <c r="F1147" t="s">
        <v>51</v>
      </c>
      <c r="G1147" t="s">
        <v>52</v>
      </c>
      <c r="H1147" t="s">
        <v>52</v>
      </c>
      <c r="I1147" t="s">
        <v>52</v>
      </c>
      <c r="J1147" t="s">
        <v>590</v>
      </c>
      <c r="K1147" t="s">
        <v>52</v>
      </c>
      <c r="L1147" t="s">
        <v>679</v>
      </c>
      <c r="M1147" t="s">
        <v>654</v>
      </c>
      <c r="N1147" t="s">
        <v>163</v>
      </c>
      <c r="O1147" t="s">
        <v>680</v>
      </c>
      <c r="P1147" t="s">
        <v>680</v>
      </c>
      <c r="Q1147" t="s">
        <v>51</v>
      </c>
      <c r="R1147" t="s">
        <v>51</v>
      </c>
      <c r="S1147" t="s">
        <v>51</v>
      </c>
      <c r="T1147" t="s">
        <v>51</v>
      </c>
    </row>
    <row r="1148" spans="1:20">
      <c r="A1148" t="s">
        <v>624</v>
      </c>
      <c r="B1148" t="s">
        <v>101</v>
      </c>
      <c r="C1148" t="s">
        <v>49</v>
      </c>
      <c r="D1148" t="s">
        <v>51</v>
      </c>
      <c r="E1148" t="s">
        <v>51</v>
      </c>
      <c r="F1148" t="s">
        <v>51</v>
      </c>
      <c r="G1148" t="s">
        <v>52</v>
      </c>
      <c r="H1148" t="s">
        <v>52</v>
      </c>
      <c r="I1148" t="s">
        <v>52</v>
      </c>
      <c r="J1148" t="s">
        <v>590</v>
      </c>
      <c r="K1148" t="s">
        <v>52</v>
      </c>
      <c r="L1148" t="s">
        <v>679</v>
      </c>
      <c r="M1148" t="s">
        <v>654</v>
      </c>
      <c r="N1148" t="s">
        <v>163</v>
      </c>
      <c r="O1148" t="s">
        <v>680</v>
      </c>
      <c r="P1148" t="s">
        <v>680</v>
      </c>
      <c r="Q1148" t="s">
        <v>51</v>
      </c>
      <c r="R1148" t="s">
        <v>51</v>
      </c>
      <c r="S1148" t="s">
        <v>51</v>
      </c>
      <c r="T1148" t="s">
        <v>51</v>
      </c>
    </row>
    <row r="1149" spans="1:20">
      <c r="A1149" t="s">
        <v>625</v>
      </c>
      <c r="B1149" t="s">
        <v>103</v>
      </c>
      <c r="C1149" t="s">
        <v>49</v>
      </c>
      <c r="D1149" t="s">
        <v>51</v>
      </c>
      <c r="E1149" t="s">
        <v>51</v>
      </c>
      <c r="F1149" t="s">
        <v>51</v>
      </c>
      <c r="G1149" t="s">
        <v>52</v>
      </c>
      <c r="H1149" t="s">
        <v>52</v>
      </c>
      <c r="I1149" t="s">
        <v>52</v>
      </c>
      <c r="J1149" t="s">
        <v>590</v>
      </c>
      <c r="K1149" t="s">
        <v>52</v>
      </c>
      <c r="L1149" t="s">
        <v>679</v>
      </c>
      <c r="M1149" t="s">
        <v>654</v>
      </c>
      <c r="N1149" t="s">
        <v>163</v>
      </c>
      <c r="O1149" t="s">
        <v>680</v>
      </c>
      <c r="P1149" t="s">
        <v>680</v>
      </c>
      <c r="Q1149" t="s">
        <v>51</v>
      </c>
      <c r="R1149" t="s">
        <v>51</v>
      </c>
      <c r="S1149" t="s">
        <v>51</v>
      </c>
      <c r="T1149" t="s">
        <v>51</v>
      </c>
    </row>
    <row r="1150" spans="1:20">
      <c r="A1150" t="s">
        <v>626</v>
      </c>
      <c r="B1150" t="s">
        <v>105</v>
      </c>
      <c r="C1150" t="s">
        <v>49</v>
      </c>
      <c r="D1150" t="s">
        <v>51</v>
      </c>
      <c r="E1150" t="s">
        <v>51</v>
      </c>
      <c r="F1150" t="s">
        <v>51</v>
      </c>
      <c r="G1150" t="s">
        <v>52</v>
      </c>
      <c r="H1150" t="s">
        <v>52</v>
      </c>
      <c r="I1150" t="s">
        <v>52</v>
      </c>
      <c r="J1150" t="s">
        <v>590</v>
      </c>
      <c r="K1150" t="s">
        <v>52</v>
      </c>
      <c r="L1150" t="s">
        <v>679</v>
      </c>
      <c r="M1150" t="s">
        <v>654</v>
      </c>
      <c r="N1150" t="s">
        <v>163</v>
      </c>
      <c r="O1150" t="s">
        <v>680</v>
      </c>
      <c r="P1150" t="s">
        <v>680</v>
      </c>
      <c r="Q1150" t="s">
        <v>51</v>
      </c>
      <c r="R1150" t="s">
        <v>51</v>
      </c>
      <c r="S1150" t="s">
        <v>51</v>
      </c>
      <c r="T1150" t="s">
        <v>51</v>
      </c>
    </row>
    <row r="1151" spans="1:20">
      <c r="A1151" t="s">
        <v>627</v>
      </c>
      <c r="B1151" t="s">
        <v>107</v>
      </c>
      <c r="C1151" t="s">
        <v>49</v>
      </c>
      <c r="D1151" t="s">
        <v>51</v>
      </c>
      <c r="E1151" t="s">
        <v>51</v>
      </c>
      <c r="F1151" t="s">
        <v>51</v>
      </c>
      <c r="G1151" t="s">
        <v>52</v>
      </c>
      <c r="H1151" t="s">
        <v>52</v>
      </c>
      <c r="I1151" t="s">
        <v>52</v>
      </c>
      <c r="J1151" t="s">
        <v>590</v>
      </c>
      <c r="K1151" t="s">
        <v>52</v>
      </c>
      <c r="L1151" t="s">
        <v>679</v>
      </c>
      <c r="M1151" t="s">
        <v>654</v>
      </c>
      <c r="N1151" t="s">
        <v>163</v>
      </c>
      <c r="O1151" t="s">
        <v>680</v>
      </c>
      <c r="P1151" t="s">
        <v>680</v>
      </c>
      <c r="Q1151" t="s">
        <v>51</v>
      </c>
      <c r="R1151" t="s">
        <v>51</v>
      </c>
      <c r="S1151" t="s">
        <v>51</v>
      </c>
      <c r="T1151" t="s">
        <v>51</v>
      </c>
    </row>
    <row r="1152" spans="1:20">
      <c r="A1152" t="s">
        <v>628</v>
      </c>
      <c r="B1152" t="s">
        <v>109</v>
      </c>
      <c r="C1152" t="s">
        <v>49</v>
      </c>
      <c r="D1152" t="s">
        <v>51</v>
      </c>
      <c r="E1152" t="s">
        <v>51</v>
      </c>
      <c r="F1152" t="s">
        <v>51</v>
      </c>
      <c r="G1152" t="s">
        <v>52</v>
      </c>
      <c r="H1152" t="s">
        <v>52</v>
      </c>
      <c r="I1152" t="s">
        <v>52</v>
      </c>
      <c r="J1152" t="s">
        <v>590</v>
      </c>
      <c r="K1152" t="s">
        <v>52</v>
      </c>
      <c r="L1152" t="s">
        <v>679</v>
      </c>
      <c r="M1152" t="s">
        <v>654</v>
      </c>
      <c r="N1152" t="s">
        <v>163</v>
      </c>
      <c r="O1152" t="s">
        <v>680</v>
      </c>
      <c r="P1152" t="s">
        <v>680</v>
      </c>
      <c r="Q1152" t="s">
        <v>51</v>
      </c>
      <c r="R1152" t="s">
        <v>51</v>
      </c>
      <c r="S1152" t="s">
        <v>51</v>
      </c>
      <c r="T1152" t="s">
        <v>51</v>
      </c>
    </row>
    <row r="1153" spans="1:20">
      <c r="A1153" t="s">
        <v>629</v>
      </c>
      <c r="B1153" t="s">
        <v>111</v>
      </c>
      <c r="C1153" t="s">
        <v>49</v>
      </c>
      <c r="D1153" t="s">
        <v>51</v>
      </c>
      <c r="E1153" t="s">
        <v>51</v>
      </c>
      <c r="F1153" t="s">
        <v>51</v>
      </c>
      <c r="G1153" t="s">
        <v>52</v>
      </c>
      <c r="H1153" t="s">
        <v>52</v>
      </c>
      <c r="I1153" t="s">
        <v>52</v>
      </c>
      <c r="J1153" t="s">
        <v>590</v>
      </c>
      <c r="K1153" t="s">
        <v>52</v>
      </c>
      <c r="L1153" t="s">
        <v>679</v>
      </c>
      <c r="M1153" t="s">
        <v>654</v>
      </c>
      <c r="N1153" t="s">
        <v>163</v>
      </c>
      <c r="O1153" t="s">
        <v>680</v>
      </c>
      <c r="P1153" t="s">
        <v>680</v>
      </c>
      <c r="Q1153" t="s">
        <v>51</v>
      </c>
      <c r="R1153" t="s">
        <v>51</v>
      </c>
      <c r="S1153" t="s">
        <v>51</v>
      </c>
      <c r="T1153" t="s">
        <v>51</v>
      </c>
    </row>
    <row r="1154" spans="1:20">
      <c r="A1154" t="s">
        <v>630</v>
      </c>
      <c r="B1154" t="s">
        <v>113</v>
      </c>
      <c r="C1154" t="s">
        <v>49</v>
      </c>
      <c r="D1154" t="s">
        <v>51</v>
      </c>
      <c r="E1154" t="s">
        <v>51</v>
      </c>
      <c r="F1154" t="s">
        <v>51</v>
      </c>
      <c r="G1154" t="s">
        <v>52</v>
      </c>
      <c r="H1154" t="s">
        <v>52</v>
      </c>
      <c r="I1154" t="s">
        <v>52</v>
      </c>
      <c r="J1154" t="s">
        <v>590</v>
      </c>
      <c r="K1154" t="s">
        <v>52</v>
      </c>
      <c r="L1154" t="s">
        <v>679</v>
      </c>
      <c r="M1154" t="s">
        <v>654</v>
      </c>
      <c r="N1154" t="s">
        <v>163</v>
      </c>
      <c r="O1154" t="s">
        <v>680</v>
      </c>
      <c r="P1154" t="s">
        <v>680</v>
      </c>
      <c r="Q1154" t="s">
        <v>51</v>
      </c>
      <c r="R1154" t="s">
        <v>51</v>
      </c>
      <c r="S1154" t="s">
        <v>51</v>
      </c>
      <c r="T1154" t="s">
        <v>51</v>
      </c>
    </row>
    <row r="1155" spans="1:20">
      <c r="A1155" t="s">
        <v>631</v>
      </c>
      <c r="B1155" t="s">
        <v>115</v>
      </c>
      <c r="C1155" t="s">
        <v>49</v>
      </c>
      <c r="D1155" t="s">
        <v>51</v>
      </c>
      <c r="E1155" t="s">
        <v>51</v>
      </c>
      <c r="F1155" t="s">
        <v>51</v>
      </c>
      <c r="G1155" t="s">
        <v>52</v>
      </c>
      <c r="H1155" t="s">
        <v>52</v>
      </c>
      <c r="I1155" t="s">
        <v>52</v>
      </c>
      <c r="J1155" t="s">
        <v>590</v>
      </c>
      <c r="K1155" t="s">
        <v>52</v>
      </c>
      <c r="L1155" t="s">
        <v>679</v>
      </c>
      <c r="M1155" t="s">
        <v>654</v>
      </c>
      <c r="N1155" t="s">
        <v>163</v>
      </c>
      <c r="O1155" t="s">
        <v>680</v>
      </c>
      <c r="P1155" t="s">
        <v>680</v>
      </c>
      <c r="Q1155" t="s">
        <v>51</v>
      </c>
      <c r="R1155" t="s">
        <v>51</v>
      </c>
      <c r="S1155" t="s">
        <v>51</v>
      </c>
      <c r="T1155" t="s">
        <v>51</v>
      </c>
    </row>
    <row r="1156" spans="1:20">
      <c r="A1156" t="s">
        <v>632</v>
      </c>
      <c r="B1156" t="s">
        <v>117</v>
      </c>
      <c r="C1156" t="s">
        <v>49</v>
      </c>
      <c r="D1156" t="s">
        <v>51</v>
      </c>
      <c r="E1156" t="s">
        <v>51</v>
      </c>
      <c r="F1156" t="s">
        <v>51</v>
      </c>
      <c r="G1156" t="s">
        <v>52</v>
      </c>
      <c r="H1156" t="s">
        <v>52</v>
      </c>
      <c r="I1156" t="s">
        <v>52</v>
      </c>
      <c r="J1156" t="s">
        <v>590</v>
      </c>
      <c r="K1156" t="s">
        <v>52</v>
      </c>
      <c r="L1156" t="s">
        <v>679</v>
      </c>
      <c r="M1156" t="s">
        <v>654</v>
      </c>
      <c r="N1156" t="s">
        <v>163</v>
      </c>
      <c r="O1156" t="s">
        <v>680</v>
      </c>
      <c r="P1156" t="s">
        <v>680</v>
      </c>
      <c r="Q1156" t="s">
        <v>51</v>
      </c>
      <c r="R1156" t="s">
        <v>51</v>
      </c>
      <c r="S1156" t="s">
        <v>51</v>
      </c>
      <c r="T1156" t="s">
        <v>51</v>
      </c>
    </row>
    <row r="1157" spans="1:20">
      <c r="A1157" t="s">
        <v>633</v>
      </c>
      <c r="B1157" t="s">
        <v>119</v>
      </c>
      <c r="C1157" t="s">
        <v>49</v>
      </c>
      <c r="D1157" t="s">
        <v>51</v>
      </c>
      <c r="E1157" t="s">
        <v>51</v>
      </c>
      <c r="F1157" t="s">
        <v>51</v>
      </c>
      <c r="G1157" t="s">
        <v>52</v>
      </c>
      <c r="H1157" t="s">
        <v>52</v>
      </c>
      <c r="I1157" t="s">
        <v>52</v>
      </c>
      <c r="J1157" t="s">
        <v>590</v>
      </c>
      <c r="K1157" t="s">
        <v>52</v>
      </c>
      <c r="L1157" t="s">
        <v>679</v>
      </c>
      <c r="M1157" t="s">
        <v>654</v>
      </c>
      <c r="N1157" t="s">
        <v>163</v>
      </c>
      <c r="O1157" t="s">
        <v>680</v>
      </c>
      <c r="P1157" t="s">
        <v>680</v>
      </c>
      <c r="Q1157" t="s">
        <v>51</v>
      </c>
      <c r="R1157" t="s">
        <v>51</v>
      </c>
      <c r="S1157" t="s">
        <v>51</v>
      </c>
      <c r="T1157" t="s">
        <v>51</v>
      </c>
    </row>
    <row r="1158" spans="1:20">
      <c r="A1158" t="s">
        <v>634</v>
      </c>
      <c r="B1158" t="s">
        <v>121</v>
      </c>
      <c r="C1158" t="s">
        <v>49</v>
      </c>
      <c r="D1158" t="s">
        <v>51</v>
      </c>
      <c r="E1158" t="s">
        <v>51</v>
      </c>
      <c r="F1158" t="s">
        <v>51</v>
      </c>
      <c r="G1158" t="s">
        <v>52</v>
      </c>
      <c r="H1158" t="s">
        <v>52</v>
      </c>
      <c r="I1158" t="s">
        <v>52</v>
      </c>
      <c r="J1158" t="s">
        <v>590</v>
      </c>
      <c r="K1158" t="s">
        <v>52</v>
      </c>
      <c r="L1158" t="s">
        <v>679</v>
      </c>
      <c r="M1158" t="s">
        <v>654</v>
      </c>
      <c r="N1158" t="s">
        <v>163</v>
      </c>
      <c r="O1158" t="s">
        <v>680</v>
      </c>
      <c r="P1158" t="s">
        <v>680</v>
      </c>
      <c r="Q1158" t="s">
        <v>51</v>
      </c>
      <c r="R1158" t="s">
        <v>51</v>
      </c>
      <c r="S1158" t="s">
        <v>51</v>
      </c>
      <c r="T1158" t="s">
        <v>51</v>
      </c>
    </row>
    <row r="1159" spans="1:20">
      <c r="A1159" t="s">
        <v>635</v>
      </c>
      <c r="B1159" t="s">
        <v>123</v>
      </c>
      <c r="C1159" t="s">
        <v>49</v>
      </c>
      <c r="D1159" t="s">
        <v>51</v>
      </c>
      <c r="E1159" t="s">
        <v>51</v>
      </c>
      <c r="F1159" t="s">
        <v>51</v>
      </c>
      <c r="G1159" t="s">
        <v>52</v>
      </c>
      <c r="H1159" t="s">
        <v>52</v>
      </c>
      <c r="I1159" t="s">
        <v>52</v>
      </c>
      <c r="J1159" t="s">
        <v>590</v>
      </c>
      <c r="K1159" t="s">
        <v>52</v>
      </c>
      <c r="L1159" t="s">
        <v>679</v>
      </c>
      <c r="M1159" t="s">
        <v>654</v>
      </c>
      <c r="N1159" t="s">
        <v>163</v>
      </c>
      <c r="O1159" t="s">
        <v>680</v>
      </c>
      <c r="P1159" t="s">
        <v>680</v>
      </c>
      <c r="Q1159" t="s">
        <v>51</v>
      </c>
      <c r="R1159" t="s">
        <v>51</v>
      </c>
      <c r="S1159" t="s">
        <v>51</v>
      </c>
      <c r="T1159" t="s">
        <v>51</v>
      </c>
    </row>
    <row r="1160" spans="1:20">
      <c r="A1160" t="s">
        <v>636</v>
      </c>
      <c r="B1160" t="s">
        <v>125</v>
      </c>
      <c r="C1160" t="s">
        <v>49</v>
      </c>
      <c r="D1160" t="s">
        <v>51</v>
      </c>
      <c r="E1160" t="s">
        <v>51</v>
      </c>
      <c r="F1160" t="s">
        <v>51</v>
      </c>
      <c r="G1160" t="s">
        <v>52</v>
      </c>
      <c r="H1160" t="s">
        <v>52</v>
      </c>
      <c r="I1160" t="s">
        <v>52</v>
      </c>
      <c r="J1160" t="s">
        <v>590</v>
      </c>
      <c r="K1160" t="s">
        <v>52</v>
      </c>
      <c r="L1160" t="s">
        <v>679</v>
      </c>
      <c r="M1160" t="s">
        <v>654</v>
      </c>
      <c r="N1160" t="s">
        <v>163</v>
      </c>
      <c r="O1160" t="s">
        <v>680</v>
      </c>
      <c r="P1160" t="s">
        <v>680</v>
      </c>
      <c r="Q1160" t="s">
        <v>51</v>
      </c>
      <c r="R1160" t="s">
        <v>51</v>
      </c>
      <c r="S1160" t="s">
        <v>51</v>
      </c>
      <c r="T1160" t="s">
        <v>51</v>
      </c>
    </row>
    <row r="1161" spans="1:20">
      <c r="A1161" t="s">
        <v>637</v>
      </c>
      <c r="B1161" t="s">
        <v>127</v>
      </c>
      <c r="C1161" t="s">
        <v>49</v>
      </c>
      <c r="D1161" t="s">
        <v>51</v>
      </c>
      <c r="E1161" t="s">
        <v>51</v>
      </c>
      <c r="F1161" t="s">
        <v>51</v>
      </c>
      <c r="G1161" t="s">
        <v>52</v>
      </c>
      <c r="H1161" t="s">
        <v>52</v>
      </c>
      <c r="I1161" t="s">
        <v>52</v>
      </c>
      <c r="J1161" t="s">
        <v>590</v>
      </c>
      <c r="K1161" t="s">
        <v>52</v>
      </c>
      <c r="L1161" t="s">
        <v>679</v>
      </c>
      <c r="M1161" t="s">
        <v>654</v>
      </c>
      <c r="N1161" t="s">
        <v>163</v>
      </c>
      <c r="O1161" t="s">
        <v>680</v>
      </c>
      <c r="P1161" t="s">
        <v>680</v>
      </c>
      <c r="Q1161" t="s">
        <v>51</v>
      </c>
      <c r="R1161" t="s">
        <v>51</v>
      </c>
      <c r="S1161" t="s">
        <v>51</v>
      </c>
      <c r="T1161" t="s">
        <v>51</v>
      </c>
    </row>
    <row r="1162" spans="1:20">
      <c r="A1162" t="s">
        <v>638</v>
      </c>
      <c r="B1162" t="s">
        <v>129</v>
      </c>
      <c r="C1162" t="s">
        <v>49</v>
      </c>
      <c r="D1162" t="s">
        <v>51</v>
      </c>
      <c r="E1162" t="s">
        <v>51</v>
      </c>
      <c r="F1162" t="s">
        <v>51</v>
      </c>
      <c r="G1162" t="s">
        <v>52</v>
      </c>
      <c r="H1162" t="s">
        <v>52</v>
      </c>
      <c r="I1162" t="s">
        <v>52</v>
      </c>
      <c r="J1162" t="s">
        <v>590</v>
      </c>
      <c r="K1162" t="s">
        <v>52</v>
      </c>
      <c r="L1162" t="s">
        <v>679</v>
      </c>
      <c r="M1162" t="s">
        <v>654</v>
      </c>
      <c r="N1162" t="s">
        <v>163</v>
      </c>
      <c r="O1162" t="s">
        <v>680</v>
      </c>
      <c r="P1162" t="s">
        <v>680</v>
      </c>
      <c r="Q1162" t="s">
        <v>51</v>
      </c>
      <c r="R1162" t="s">
        <v>51</v>
      </c>
      <c r="S1162" t="s">
        <v>51</v>
      </c>
      <c r="T1162" t="s">
        <v>51</v>
      </c>
    </row>
    <row r="1163" spans="1:20">
      <c r="A1163" t="s">
        <v>639</v>
      </c>
      <c r="B1163" t="s">
        <v>131</v>
      </c>
      <c r="C1163" t="s">
        <v>49</v>
      </c>
      <c r="D1163" t="s">
        <v>51</v>
      </c>
      <c r="E1163" t="s">
        <v>51</v>
      </c>
      <c r="F1163" t="s">
        <v>51</v>
      </c>
      <c r="G1163" t="s">
        <v>52</v>
      </c>
      <c r="H1163" t="s">
        <v>52</v>
      </c>
      <c r="I1163" t="s">
        <v>52</v>
      </c>
      <c r="J1163" t="s">
        <v>590</v>
      </c>
      <c r="K1163" t="s">
        <v>52</v>
      </c>
      <c r="L1163" t="s">
        <v>679</v>
      </c>
      <c r="M1163" t="s">
        <v>654</v>
      </c>
      <c r="N1163" t="s">
        <v>163</v>
      </c>
      <c r="O1163" t="s">
        <v>680</v>
      </c>
      <c r="P1163" t="s">
        <v>680</v>
      </c>
      <c r="Q1163" t="s">
        <v>51</v>
      </c>
      <c r="R1163" t="s">
        <v>51</v>
      </c>
      <c r="S1163" t="s">
        <v>51</v>
      </c>
      <c r="T1163" t="s">
        <v>51</v>
      </c>
    </row>
    <row r="1164" spans="1:20">
      <c r="A1164" t="s">
        <v>640</v>
      </c>
      <c r="B1164" t="s">
        <v>133</v>
      </c>
      <c r="C1164" t="s">
        <v>49</v>
      </c>
      <c r="D1164" t="s">
        <v>51</v>
      </c>
      <c r="E1164" t="s">
        <v>51</v>
      </c>
      <c r="F1164" t="s">
        <v>51</v>
      </c>
      <c r="G1164" t="s">
        <v>52</v>
      </c>
      <c r="H1164" t="s">
        <v>52</v>
      </c>
      <c r="I1164" t="s">
        <v>52</v>
      </c>
      <c r="J1164" t="s">
        <v>590</v>
      </c>
      <c r="K1164" t="s">
        <v>52</v>
      </c>
      <c r="L1164" t="s">
        <v>679</v>
      </c>
      <c r="M1164" t="s">
        <v>654</v>
      </c>
      <c r="N1164" t="s">
        <v>163</v>
      </c>
      <c r="O1164" t="s">
        <v>680</v>
      </c>
      <c r="P1164" t="s">
        <v>680</v>
      </c>
      <c r="Q1164" t="s">
        <v>51</v>
      </c>
      <c r="R1164" t="s">
        <v>51</v>
      </c>
      <c r="S1164" t="s">
        <v>51</v>
      </c>
      <c r="T1164" t="s">
        <v>51</v>
      </c>
    </row>
    <row r="1165" spans="1:20">
      <c r="A1165" t="s">
        <v>641</v>
      </c>
      <c r="B1165" t="s">
        <v>135</v>
      </c>
      <c r="C1165" t="s">
        <v>49</v>
      </c>
      <c r="D1165" t="s">
        <v>51</v>
      </c>
      <c r="E1165" t="s">
        <v>51</v>
      </c>
      <c r="F1165" t="s">
        <v>51</v>
      </c>
      <c r="G1165" t="s">
        <v>52</v>
      </c>
      <c r="H1165" t="s">
        <v>52</v>
      </c>
      <c r="I1165" t="s">
        <v>52</v>
      </c>
      <c r="J1165" t="s">
        <v>590</v>
      </c>
      <c r="K1165" t="s">
        <v>52</v>
      </c>
      <c r="L1165" t="s">
        <v>679</v>
      </c>
      <c r="M1165" t="s">
        <v>654</v>
      </c>
      <c r="N1165" t="s">
        <v>163</v>
      </c>
      <c r="O1165" t="s">
        <v>680</v>
      </c>
      <c r="P1165" t="s">
        <v>680</v>
      </c>
      <c r="Q1165" t="s">
        <v>51</v>
      </c>
      <c r="R1165" t="s">
        <v>51</v>
      </c>
      <c r="S1165" t="s">
        <v>51</v>
      </c>
      <c r="T1165" t="s">
        <v>51</v>
      </c>
    </row>
    <row r="1166" spans="1:20">
      <c r="A1166" t="s">
        <v>642</v>
      </c>
      <c r="B1166" t="s">
        <v>137</v>
      </c>
      <c r="C1166" t="s">
        <v>49</v>
      </c>
      <c r="D1166" t="s">
        <v>51</v>
      </c>
      <c r="E1166" t="s">
        <v>51</v>
      </c>
      <c r="F1166" t="s">
        <v>51</v>
      </c>
      <c r="G1166" t="s">
        <v>52</v>
      </c>
      <c r="H1166" t="s">
        <v>52</v>
      </c>
      <c r="I1166" t="s">
        <v>52</v>
      </c>
      <c r="J1166" t="s">
        <v>590</v>
      </c>
      <c r="K1166" t="s">
        <v>52</v>
      </c>
      <c r="L1166" t="s">
        <v>679</v>
      </c>
      <c r="M1166" t="s">
        <v>654</v>
      </c>
      <c r="N1166" t="s">
        <v>163</v>
      </c>
      <c r="O1166" t="s">
        <v>680</v>
      </c>
      <c r="P1166" t="s">
        <v>680</v>
      </c>
      <c r="Q1166" t="s">
        <v>51</v>
      </c>
      <c r="R1166" t="s">
        <v>51</v>
      </c>
      <c r="S1166" t="s">
        <v>51</v>
      </c>
      <c r="T1166" t="s">
        <v>51</v>
      </c>
    </row>
    <row r="1167" spans="1:20">
      <c r="A1167" t="s">
        <v>643</v>
      </c>
      <c r="B1167" t="s">
        <v>139</v>
      </c>
      <c r="C1167" t="s">
        <v>49</v>
      </c>
      <c r="D1167" t="s">
        <v>51</v>
      </c>
      <c r="E1167" t="s">
        <v>51</v>
      </c>
      <c r="F1167" t="s">
        <v>51</v>
      </c>
      <c r="G1167" t="s">
        <v>52</v>
      </c>
      <c r="H1167" t="s">
        <v>52</v>
      </c>
      <c r="I1167" t="s">
        <v>52</v>
      </c>
      <c r="J1167" t="s">
        <v>590</v>
      </c>
      <c r="K1167" t="s">
        <v>52</v>
      </c>
      <c r="L1167" t="s">
        <v>679</v>
      </c>
      <c r="M1167" t="s">
        <v>654</v>
      </c>
      <c r="N1167" t="s">
        <v>163</v>
      </c>
      <c r="O1167" t="s">
        <v>680</v>
      </c>
      <c r="P1167" t="s">
        <v>680</v>
      </c>
      <c r="Q1167" t="s">
        <v>51</v>
      </c>
      <c r="R1167" t="s">
        <v>51</v>
      </c>
      <c r="S1167" t="s">
        <v>51</v>
      </c>
      <c r="T1167" t="s">
        <v>51</v>
      </c>
    </row>
    <row r="1168" spans="1:20">
      <c r="A1168" t="s">
        <v>644</v>
      </c>
      <c r="B1168" t="s">
        <v>141</v>
      </c>
      <c r="C1168" t="s">
        <v>49</v>
      </c>
      <c r="D1168" t="s">
        <v>51</v>
      </c>
      <c r="E1168" t="s">
        <v>51</v>
      </c>
      <c r="F1168" t="s">
        <v>51</v>
      </c>
      <c r="G1168" t="s">
        <v>52</v>
      </c>
      <c r="H1168" t="s">
        <v>52</v>
      </c>
      <c r="I1168" t="s">
        <v>52</v>
      </c>
      <c r="J1168" t="s">
        <v>590</v>
      </c>
      <c r="K1168" t="s">
        <v>52</v>
      </c>
      <c r="L1168" t="s">
        <v>679</v>
      </c>
      <c r="M1168" t="s">
        <v>654</v>
      </c>
      <c r="N1168" t="s">
        <v>163</v>
      </c>
      <c r="O1168" t="s">
        <v>680</v>
      </c>
      <c r="P1168" t="s">
        <v>680</v>
      </c>
      <c r="Q1168" t="s">
        <v>51</v>
      </c>
      <c r="R1168" t="s">
        <v>51</v>
      </c>
      <c r="S1168" t="s">
        <v>51</v>
      </c>
      <c r="T1168" t="s">
        <v>51</v>
      </c>
    </row>
    <row r="1169" spans="1:20">
      <c r="A1169" t="s">
        <v>645</v>
      </c>
      <c r="B1169" t="s">
        <v>143</v>
      </c>
      <c r="C1169" t="s">
        <v>49</v>
      </c>
      <c r="D1169" t="s">
        <v>51</v>
      </c>
      <c r="E1169" t="s">
        <v>51</v>
      </c>
      <c r="F1169" t="s">
        <v>51</v>
      </c>
      <c r="G1169" t="s">
        <v>52</v>
      </c>
      <c r="H1169" t="s">
        <v>52</v>
      </c>
      <c r="I1169" t="s">
        <v>52</v>
      </c>
      <c r="J1169" t="s">
        <v>590</v>
      </c>
      <c r="K1169" t="s">
        <v>52</v>
      </c>
      <c r="L1169" t="s">
        <v>679</v>
      </c>
      <c r="M1169" t="s">
        <v>654</v>
      </c>
      <c r="N1169" t="s">
        <v>163</v>
      </c>
      <c r="O1169" t="s">
        <v>680</v>
      </c>
      <c r="P1169" t="s">
        <v>680</v>
      </c>
      <c r="Q1169" t="s">
        <v>51</v>
      </c>
      <c r="R1169" t="s">
        <v>51</v>
      </c>
      <c r="S1169" t="s">
        <v>51</v>
      </c>
      <c r="T1169" t="s">
        <v>51</v>
      </c>
    </row>
    <row r="1170" spans="1:20">
      <c r="A1170" t="s">
        <v>646</v>
      </c>
      <c r="B1170" t="s">
        <v>145</v>
      </c>
      <c r="C1170" t="s">
        <v>49</v>
      </c>
      <c r="D1170" t="s">
        <v>51</v>
      </c>
      <c r="E1170" t="s">
        <v>51</v>
      </c>
      <c r="F1170" t="s">
        <v>51</v>
      </c>
      <c r="G1170" t="s">
        <v>52</v>
      </c>
      <c r="H1170" t="s">
        <v>52</v>
      </c>
      <c r="I1170" t="s">
        <v>52</v>
      </c>
      <c r="J1170" t="s">
        <v>590</v>
      </c>
      <c r="K1170" t="s">
        <v>52</v>
      </c>
      <c r="L1170" t="s">
        <v>679</v>
      </c>
      <c r="M1170" t="s">
        <v>654</v>
      </c>
      <c r="N1170" t="s">
        <v>163</v>
      </c>
      <c r="O1170" t="s">
        <v>680</v>
      </c>
      <c r="P1170" t="s">
        <v>680</v>
      </c>
      <c r="Q1170" t="s">
        <v>51</v>
      </c>
      <c r="R1170" t="s">
        <v>51</v>
      </c>
      <c r="S1170" t="s">
        <v>51</v>
      </c>
      <c r="T1170" t="s">
        <v>51</v>
      </c>
    </row>
    <row r="1171" spans="1:20">
      <c r="A1171" t="s">
        <v>647</v>
      </c>
      <c r="B1171" t="s">
        <v>147</v>
      </c>
      <c r="C1171" t="s">
        <v>49</v>
      </c>
      <c r="D1171" t="s">
        <v>51</v>
      </c>
      <c r="E1171" t="s">
        <v>51</v>
      </c>
      <c r="F1171" t="s">
        <v>51</v>
      </c>
      <c r="G1171" t="s">
        <v>52</v>
      </c>
      <c r="H1171" t="s">
        <v>52</v>
      </c>
      <c r="I1171" t="s">
        <v>52</v>
      </c>
      <c r="J1171" t="s">
        <v>590</v>
      </c>
      <c r="K1171" t="s">
        <v>52</v>
      </c>
      <c r="L1171" t="s">
        <v>679</v>
      </c>
      <c r="M1171" t="s">
        <v>654</v>
      </c>
      <c r="N1171" t="s">
        <v>163</v>
      </c>
      <c r="O1171" t="s">
        <v>680</v>
      </c>
      <c r="P1171" t="s">
        <v>680</v>
      </c>
      <c r="Q1171" t="s">
        <v>51</v>
      </c>
      <c r="R1171" t="s">
        <v>51</v>
      </c>
      <c r="S1171" t="s">
        <v>51</v>
      </c>
      <c r="T1171" t="s">
        <v>51</v>
      </c>
    </row>
    <row r="1172" spans="1:20">
      <c r="A1172" t="s">
        <v>648</v>
      </c>
      <c r="B1172" t="s">
        <v>149</v>
      </c>
      <c r="C1172" t="s">
        <v>49</v>
      </c>
      <c r="D1172" t="s">
        <v>51</v>
      </c>
      <c r="E1172" t="s">
        <v>51</v>
      </c>
      <c r="F1172" t="s">
        <v>51</v>
      </c>
      <c r="G1172" t="s">
        <v>52</v>
      </c>
      <c r="H1172" t="s">
        <v>52</v>
      </c>
      <c r="I1172" t="s">
        <v>52</v>
      </c>
      <c r="J1172" t="s">
        <v>590</v>
      </c>
      <c r="K1172" t="s">
        <v>52</v>
      </c>
      <c r="L1172" t="s">
        <v>679</v>
      </c>
      <c r="M1172" t="s">
        <v>654</v>
      </c>
      <c r="N1172" t="s">
        <v>163</v>
      </c>
      <c r="O1172" t="s">
        <v>680</v>
      </c>
      <c r="P1172" t="s">
        <v>680</v>
      </c>
      <c r="Q1172" t="s">
        <v>51</v>
      </c>
      <c r="R1172" t="s">
        <v>51</v>
      </c>
      <c r="S1172" t="s">
        <v>51</v>
      </c>
      <c r="T1172" t="s">
        <v>51</v>
      </c>
    </row>
    <row r="1173" spans="1:20">
      <c r="A1173" t="s">
        <v>649</v>
      </c>
      <c r="B1173" t="s">
        <v>151</v>
      </c>
      <c r="C1173" t="s">
        <v>49</v>
      </c>
      <c r="D1173" t="s">
        <v>51</v>
      </c>
      <c r="E1173" t="s">
        <v>51</v>
      </c>
      <c r="F1173" t="s">
        <v>51</v>
      </c>
      <c r="G1173" t="s">
        <v>52</v>
      </c>
      <c r="H1173" t="s">
        <v>52</v>
      </c>
      <c r="I1173" t="s">
        <v>52</v>
      </c>
      <c r="J1173" t="s">
        <v>590</v>
      </c>
      <c r="K1173" t="s">
        <v>52</v>
      </c>
      <c r="L1173" t="s">
        <v>679</v>
      </c>
      <c r="M1173" t="s">
        <v>654</v>
      </c>
      <c r="N1173" t="s">
        <v>163</v>
      </c>
      <c r="O1173" t="s">
        <v>680</v>
      </c>
      <c r="P1173" t="s">
        <v>680</v>
      </c>
      <c r="Q1173" t="s">
        <v>51</v>
      </c>
      <c r="R1173" t="s">
        <v>51</v>
      </c>
      <c r="S1173" t="s">
        <v>51</v>
      </c>
      <c r="T1173" t="s">
        <v>51</v>
      </c>
    </row>
    <row r="1174" spans="1:20">
      <c r="A1174" t="s">
        <v>650</v>
      </c>
      <c r="B1174" t="s">
        <v>153</v>
      </c>
      <c r="C1174" t="s">
        <v>49</v>
      </c>
      <c r="D1174" t="s">
        <v>51</v>
      </c>
      <c r="E1174" t="s">
        <v>51</v>
      </c>
      <c r="F1174" t="s">
        <v>51</v>
      </c>
      <c r="G1174" t="s">
        <v>52</v>
      </c>
      <c r="H1174" t="s">
        <v>52</v>
      </c>
      <c r="I1174" t="s">
        <v>52</v>
      </c>
      <c r="J1174" t="s">
        <v>590</v>
      </c>
      <c r="K1174" t="s">
        <v>52</v>
      </c>
      <c r="L1174" t="s">
        <v>679</v>
      </c>
      <c r="M1174" t="s">
        <v>654</v>
      </c>
      <c r="N1174" t="s">
        <v>163</v>
      </c>
      <c r="O1174" t="s">
        <v>680</v>
      </c>
      <c r="P1174" t="s">
        <v>680</v>
      </c>
      <c r="Q1174" t="s">
        <v>51</v>
      </c>
      <c r="R1174" t="s">
        <v>51</v>
      </c>
      <c r="S1174" t="s">
        <v>51</v>
      </c>
      <c r="T1174" t="s">
        <v>51</v>
      </c>
    </row>
    <row r="1175" spans="1:20">
      <c r="A1175" t="s">
        <v>588</v>
      </c>
      <c r="B1175" t="s">
        <v>589</v>
      </c>
      <c r="C1175" t="s">
        <v>165</v>
      </c>
      <c r="D1175" t="s">
        <v>50</v>
      </c>
      <c r="E1175" t="s">
        <v>51</v>
      </c>
      <c r="F1175" t="s">
        <v>51</v>
      </c>
      <c r="G1175" t="s">
        <v>52</v>
      </c>
      <c r="H1175" t="s">
        <v>52</v>
      </c>
      <c r="I1175" t="s">
        <v>52</v>
      </c>
      <c r="J1175" t="s">
        <v>52</v>
      </c>
      <c r="K1175" t="s">
        <v>52</v>
      </c>
      <c r="L1175" t="s">
        <v>681</v>
      </c>
      <c r="M1175" t="s">
        <v>654</v>
      </c>
      <c r="N1175" t="s">
        <v>163</v>
      </c>
      <c r="O1175" t="s">
        <v>682</v>
      </c>
      <c r="P1175" t="s">
        <v>682</v>
      </c>
      <c r="Q1175" t="s">
        <v>51</v>
      </c>
      <c r="R1175" t="s">
        <v>51</v>
      </c>
      <c r="S1175" t="s">
        <v>51</v>
      </c>
      <c r="T1175" t="s">
        <v>51</v>
      </c>
    </row>
    <row r="1176" spans="1:20">
      <c r="A1176" t="s">
        <v>621</v>
      </c>
      <c r="B1176" t="s">
        <v>95</v>
      </c>
      <c r="C1176" t="s">
        <v>49</v>
      </c>
      <c r="D1176" t="s">
        <v>51</v>
      </c>
      <c r="E1176" t="s">
        <v>51</v>
      </c>
      <c r="F1176" t="s">
        <v>51</v>
      </c>
      <c r="G1176" t="s">
        <v>52</v>
      </c>
      <c r="H1176" t="s">
        <v>52</v>
      </c>
      <c r="I1176" t="s">
        <v>52</v>
      </c>
      <c r="J1176" t="s">
        <v>590</v>
      </c>
      <c r="K1176" t="s">
        <v>52</v>
      </c>
      <c r="L1176" t="s">
        <v>681</v>
      </c>
      <c r="M1176" t="s">
        <v>654</v>
      </c>
      <c r="N1176" t="s">
        <v>163</v>
      </c>
      <c r="O1176" t="s">
        <v>682</v>
      </c>
      <c r="P1176" t="s">
        <v>682</v>
      </c>
      <c r="Q1176" t="s">
        <v>51</v>
      </c>
      <c r="R1176" t="s">
        <v>51</v>
      </c>
      <c r="S1176" t="s">
        <v>51</v>
      </c>
      <c r="T1176" t="s">
        <v>51</v>
      </c>
    </row>
    <row r="1177" spans="1:20">
      <c r="A1177" t="s">
        <v>622</v>
      </c>
      <c r="B1177" t="s">
        <v>97</v>
      </c>
      <c r="C1177" t="s">
        <v>49</v>
      </c>
      <c r="D1177" t="s">
        <v>51</v>
      </c>
      <c r="E1177" t="s">
        <v>51</v>
      </c>
      <c r="F1177" t="s">
        <v>51</v>
      </c>
      <c r="G1177" t="s">
        <v>52</v>
      </c>
      <c r="H1177" t="s">
        <v>52</v>
      </c>
      <c r="I1177" t="s">
        <v>52</v>
      </c>
      <c r="J1177" t="s">
        <v>590</v>
      </c>
      <c r="K1177" t="s">
        <v>52</v>
      </c>
      <c r="L1177" t="s">
        <v>681</v>
      </c>
      <c r="M1177" t="s">
        <v>654</v>
      </c>
      <c r="N1177" t="s">
        <v>163</v>
      </c>
      <c r="O1177" t="s">
        <v>682</v>
      </c>
      <c r="P1177" t="s">
        <v>682</v>
      </c>
      <c r="Q1177" t="s">
        <v>51</v>
      </c>
      <c r="R1177" t="s">
        <v>51</v>
      </c>
      <c r="S1177" t="s">
        <v>51</v>
      </c>
      <c r="T1177" t="s">
        <v>51</v>
      </c>
    </row>
    <row r="1178" spans="1:20">
      <c r="A1178" t="s">
        <v>623</v>
      </c>
      <c r="B1178" t="s">
        <v>99</v>
      </c>
      <c r="C1178" t="s">
        <v>49</v>
      </c>
      <c r="D1178" t="s">
        <v>51</v>
      </c>
      <c r="E1178" t="s">
        <v>51</v>
      </c>
      <c r="F1178" t="s">
        <v>51</v>
      </c>
      <c r="G1178" t="s">
        <v>52</v>
      </c>
      <c r="H1178" t="s">
        <v>52</v>
      </c>
      <c r="I1178" t="s">
        <v>52</v>
      </c>
      <c r="J1178" t="s">
        <v>590</v>
      </c>
      <c r="K1178" t="s">
        <v>52</v>
      </c>
      <c r="L1178" t="s">
        <v>681</v>
      </c>
      <c r="M1178" t="s">
        <v>654</v>
      </c>
      <c r="N1178" t="s">
        <v>163</v>
      </c>
      <c r="O1178" t="s">
        <v>682</v>
      </c>
      <c r="P1178" t="s">
        <v>682</v>
      </c>
      <c r="Q1178" t="s">
        <v>51</v>
      </c>
      <c r="R1178" t="s">
        <v>51</v>
      </c>
      <c r="S1178" t="s">
        <v>51</v>
      </c>
      <c r="T1178" t="s">
        <v>51</v>
      </c>
    </row>
    <row r="1179" spans="1:20">
      <c r="A1179" t="s">
        <v>624</v>
      </c>
      <c r="B1179" t="s">
        <v>101</v>
      </c>
      <c r="C1179" t="s">
        <v>49</v>
      </c>
      <c r="D1179" t="s">
        <v>51</v>
      </c>
      <c r="E1179" t="s">
        <v>51</v>
      </c>
      <c r="F1179" t="s">
        <v>51</v>
      </c>
      <c r="G1179" t="s">
        <v>52</v>
      </c>
      <c r="H1179" t="s">
        <v>52</v>
      </c>
      <c r="I1179" t="s">
        <v>52</v>
      </c>
      <c r="J1179" t="s">
        <v>590</v>
      </c>
      <c r="K1179" t="s">
        <v>52</v>
      </c>
      <c r="L1179" t="s">
        <v>681</v>
      </c>
      <c r="M1179" t="s">
        <v>654</v>
      </c>
      <c r="N1179" t="s">
        <v>163</v>
      </c>
      <c r="O1179" t="s">
        <v>682</v>
      </c>
      <c r="P1179" t="s">
        <v>682</v>
      </c>
      <c r="Q1179" t="s">
        <v>51</v>
      </c>
      <c r="R1179" t="s">
        <v>51</v>
      </c>
      <c r="S1179" t="s">
        <v>51</v>
      </c>
      <c r="T1179" t="s">
        <v>51</v>
      </c>
    </row>
    <row r="1180" spans="1:20">
      <c r="A1180" t="s">
        <v>625</v>
      </c>
      <c r="B1180" t="s">
        <v>103</v>
      </c>
      <c r="C1180" t="s">
        <v>49</v>
      </c>
      <c r="D1180" t="s">
        <v>51</v>
      </c>
      <c r="E1180" t="s">
        <v>51</v>
      </c>
      <c r="F1180" t="s">
        <v>51</v>
      </c>
      <c r="G1180" t="s">
        <v>52</v>
      </c>
      <c r="H1180" t="s">
        <v>52</v>
      </c>
      <c r="I1180" t="s">
        <v>52</v>
      </c>
      <c r="J1180" t="s">
        <v>590</v>
      </c>
      <c r="K1180" t="s">
        <v>52</v>
      </c>
      <c r="L1180" t="s">
        <v>681</v>
      </c>
      <c r="M1180" t="s">
        <v>654</v>
      </c>
      <c r="N1180" t="s">
        <v>163</v>
      </c>
      <c r="O1180" t="s">
        <v>682</v>
      </c>
      <c r="P1180" t="s">
        <v>682</v>
      </c>
      <c r="Q1180" t="s">
        <v>51</v>
      </c>
      <c r="R1180" t="s">
        <v>51</v>
      </c>
      <c r="S1180" t="s">
        <v>51</v>
      </c>
      <c r="T1180" t="s">
        <v>51</v>
      </c>
    </row>
    <row r="1181" spans="1:20">
      <c r="A1181" t="s">
        <v>626</v>
      </c>
      <c r="B1181" t="s">
        <v>105</v>
      </c>
      <c r="C1181" t="s">
        <v>49</v>
      </c>
      <c r="D1181" t="s">
        <v>51</v>
      </c>
      <c r="E1181" t="s">
        <v>51</v>
      </c>
      <c r="F1181" t="s">
        <v>51</v>
      </c>
      <c r="G1181" t="s">
        <v>52</v>
      </c>
      <c r="H1181" t="s">
        <v>52</v>
      </c>
      <c r="I1181" t="s">
        <v>52</v>
      </c>
      <c r="J1181" t="s">
        <v>590</v>
      </c>
      <c r="K1181" t="s">
        <v>52</v>
      </c>
      <c r="L1181" t="s">
        <v>681</v>
      </c>
      <c r="M1181" t="s">
        <v>654</v>
      </c>
      <c r="N1181" t="s">
        <v>163</v>
      </c>
      <c r="O1181" t="s">
        <v>682</v>
      </c>
      <c r="P1181" t="s">
        <v>682</v>
      </c>
      <c r="Q1181" t="s">
        <v>51</v>
      </c>
      <c r="R1181" t="s">
        <v>51</v>
      </c>
      <c r="S1181" t="s">
        <v>51</v>
      </c>
      <c r="T1181" t="s">
        <v>51</v>
      </c>
    </row>
    <row r="1182" spans="1:20">
      <c r="A1182" t="s">
        <v>627</v>
      </c>
      <c r="B1182" t="s">
        <v>107</v>
      </c>
      <c r="C1182" t="s">
        <v>49</v>
      </c>
      <c r="D1182" t="s">
        <v>51</v>
      </c>
      <c r="E1182" t="s">
        <v>51</v>
      </c>
      <c r="F1182" t="s">
        <v>51</v>
      </c>
      <c r="G1182" t="s">
        <v>52</v>
      </c>
      <c r="H1182" t="s">
        <v>52</v>
      </c>
      <c r="I1182" t="s">
        <v>52</v>
      </c>
      <c r="J1182" t="s">
        <v>590</v>
      </c>
      <c r="K1182" t="s">
        <v>52</v>
      </c>
      <c r="L1182" t="s">
        <v>681</v>
      </c>
      <c r="M1182" t="s">
        <v>654</v>
      </c>
      <c r="N1182" t="s">
        <v>163</v>
      </c>
      <c r="O1182" t="s">
        <v>682</v>
      </c>
      <c r="P1182" t="s">
        <v>682</v>
      </c>
      <c r="Q1182" t="s">
        <v>51</v>
      </c>
      <c r="R1182" t="s">
        <v>51</v>
      </c>
      <c r="S1182" t="s">
        <v>51</v>
      </c>
      <c r="T1182" t="s">
        <v>51</v>
      </c>
    </row>
    <row r="1183" spans="1:20">
      <c r="A1183" t="s">
        <v>628</v>
      </c>
      <c r="B1183" t="s">
        <v>109</v>
      </c>
      <c r="C1183" t="s">
        <v>49</v>
      </c>
      <c r="D1183" t="s">
        <v>51</v>
      </c>
      <c r="E1183" t="s">
        <v>51</v>
      </c>
      <c r="F1183" t="s">
        <v>51</v>
      </c>
      <c r="G1183" t="s">
        <v>52</v>
      </c>
      <c r="H1183" t="s">
        <v>52</v>
      </c>
      <c r="I1183" t="s">
        <v>52</v>
      </c>
      <c r="J1183" t="s">
        <v>590</v>
      </c>
      <c r="K1183" t="s">
        <v>52</v>
      </c>
      <c r="L1183" t="s">
        <v>681</v>
      </c>
      <c r="M1183" t="s">
        <v>654</v>
      </c>
      <c r="N1183" t="s">
        <v>163</v>
      </c>
      <c r="O1183" t="s">
        <v>682</v>
      </c>
      <c r="P1183" t="s">
        <v>682</v>
      </c>
      <c r="Q1183" t="s">
        <v>51</v>
      </c>
      <c r="R1183" t="s">
        <v>51</v>
      </c>
      <c r="S1183" t="s">
        <v>51</v>
      </c>
      <c r="T1183" t="s">
        <v>51</v>
      </c>
    </row>
    <row r="1184" spans="1:20">
      <c r="A1184" t="s">
        <v>629</v>
      </c>
      <c r="B1184" t="s">
        <v>111</v>
      </c>
      <c r="C1184" t="s">
        <v>49</v>
      </c>
      <c r="D1184" t="s">
        <v>51</v>
      </c>
      <c r="E1184" t="s">
        <v>51</v>
      </c>
      <c r="F1184" t="s">
        <v>51</v>
      </c>
      <c r="G1184" t="s">
        <v>52</v>
      </c>
      <c r="H1184" t="s">
        <v>52</v>
      </c>
      <c r="I1184" t="s">
        <v>52</v>
      </c>
      <c r="J1184" t="s">
        <v>590</v>
      </c>
      <c r="K1184" t="s">
        <v>52</v>
      </c>
      <c r="L1184" t="s">
        <v>681</v>
      </c>
      <c r="M1184" t="s">
        <v>654</v>
      </c>
      <c r="N1184" t="s">
        <v>163</v>
      </c>
      <c r="O1184" t="s">
        <v>682</v>
      </c>
      <c r="P1184" t="s">
        <v>682</v>
      </c>
      <c r="Q1184" t="s">
        <v>51</v>
      </c>
      <c r="R1184" t="s">
        <v>51</v>
      </c>
      <c r="S1184" t="s">
        <v>51</v>
      </c>
      <c r="T1184" t="s">
        <v>51</v>
      </c>
    </row>
    <row r="1185" spans="1:20">
      <c r="A1185" t="s">
        <v>630</v>
      </c>
      <c r="B1185" t="s">
        <v>113</v>
      </c>
      <c r="C1185" t="s">
        <v>49</v>
      </c>
      <c r="D1185" t="s">
        <v>51</v>
      </c>
      <c r="E1185" t="s">
        <v>51</v>
      </c>
      <c r="F1185" t="s">
        <v>51</v>
      </c>
      <c r="G1185" t="s">
        <v>52</v>
      </c>
      <c r="H1185" t="s">
        <v>52</v>
      </c>
      <c r="I1185" t="s">
        <v>52</v>
      </c>
      <c r="J1185" t="s">
        <v>590</v>
      </c>
      <c r="K1185" t="s">
        <v>52</v>
      </c>
      <c r="L1185" t="s">
        <v>681</v>
      </c>
      <c r="M1185" t="s">
        <v>654</v>
      </c>
      <c r="N1185" t="s">
        <v>163</v>
      </c>
      <c r="O1185" t="s">
        <v>682</v>
      </c>
      <c r="P1185" t="s">
        <v>682</v>
      </c>
      <c r="Q1185" t="s">
        <v>51</v>
      </c>
      <c r="R1185" t="s">
        <v>51</v>
      </c>
      <c r="S1185" t="s">
        <v>51</v>
      </c>
      <c r="T1185" t="s">
        <v>51</v>
      </c>
    </row>
    <row r="1186" spans="1:20">
      <c r="A1186" t="s">
        <v>631</v>
      </c>
      <c r="B1186" t="s">
        <v>115</v>
      </c>
      <c r="C1186" t="s">
        <v>49</v>
      </c>
      <c r="D1186" t="s">
        <v>51</v>
      </c>
      <c r="E1186" t="s">
        <v>51</v>
      </c>
      <c r="F1186" t="s">
        <v>51</v>
      </c>
      <c r="G1186" t="s">
        <v>52</v>
      </c>
      <c r="H1186" t="s">
        <v>52</v>
      </c>
      <c r="I1186" t="s">
        <v>52</v>
      </c>
      <c r="J1186" t="s">
        <v>590</v>
      </c>
      <c r="K1186" t="s">
        <v>52</v>
      </c>
      <c r="L1186" t="s">
        <v>681</v>
      </c>
      <c r="M1186" t="s">
        <v>654</v>
      </c>
      <c r="N1186" t="s">
        <v>163</v>
      </c>
      <c r="O1186" t="s">
        <v>682</v>
      </c>
      <c r="P1186" t="s">
        <v>682</v>
      </c>
      <c r="Q1186" t="s">
        <v>51</v>
      </c>
      <c r="R1186" t="s">
        <v>51</v>
      </c>
      <c r="S1186" t="s">
        <v>51</v>
      </c>
      <c r="T1186" t="s">
        <v>51</v>
      </c>
    </row>
    <row r="1187" spans="1:20">
      <c r="A1187" t="s">
        <v>632</v>
      </c>
      <c r="B1187" t="s">
        <v>117</v>
      </c>
      <c r="C1187" t="s">
        <v>49</v>
      </c>
      <c r="D1187" t="s">
        <v>51</v>
      </c>
      <c r="E1187" t="s">
        <v>51</v>
      </c>
      <c r="F1187" t="s">
        <v>51</v>
      </c>
      <c r="G1187" t="s">
        <v>52</v>
      </c>
      <c r="H1187" t="s">
        <v>52</v>
      </c>
      <c r="I1187" t="s">
        <v>52</v>
      </c>
      <c r="J1187" t="s">
        <v>590</v>
      </c>
      <c r="K1187" t="s">
        <v>52</v>
      </c>
      <c r="L1187" t="s">
        <v>681</v>
      </c>
      <c r="M1187" t="s">
        <v>654</v>
      </c>
      <c r="N1187" t="s">
        <v>163</v>
      </c>
      <c r="O1187" t="s">
        <v>682</v>
      </c>
      <c r="P1187" t="s">
        <v>682</v>
      </c>
      <c r="Q1187" t="s">
        <v>51</v>
      </c>
      <c r="R1187" t="s">
        <v>51</v>
      </c>
      <c r="S1187" t="s">
        <v>51</v>
      </c>
      <c r="T1187" t="s">
        <v>51</v>
      </c>
    </row>
    <row r="1188" spans="1:20">
      <c r="A1188" t="s">
        <v>633</v>
      </c>
      <c r="B1188" t="s">
        <v>119</v>
      </c>
      <c r="C1188" t="s">
        <v>49</v>
      </c>
      <c r="D1188" t="s">
        <v>51</v>
      </c>
      <c r="E1188" t="s">
        <v>51</v>
      </c>
      <c r="F1188" t="s">
        <v>51</v>
      </c>
      <c r="G1188" t="s">
        <v>52</v>
      </c>
      <c r="H1188" t="s">
        <v>52</v>
      </c>
      <c r="I1188" t="s">
        <v>52</v>
      </c>
      <c r="J1188" t="s">
        <v>590</v>
      </c>
      <c r="K1188" t="s">
        <v>52</v>
      </c>
      <c r="L1188" t="s">
        <v>681</v>
      </c>
      <c r="M1188" t="s">
        <v>654</v>
      </c>
      <c r="N1188" t="s">
        <v>163</v>
      </c>
      <c r="O1188" t="s">
        <v>682</v>
      </c>
      <c r="P1188" t="s">
        <v>682</v>
      </c>
      <c r="Q1188" t="s">
        <v>51</v>
      </c>
      <c r="R1188" t="s">
        <v>51</v>
      </c>
      <c r="S1188" t="s">
        <v>51</v>
      </c>
      <c r="T1188" t="s">
        <v>51</v>
      </c>
    </row>
    <row r="1189" spans="1:20">
      <c r="A1189" t="s">
        <v>634</v>
      </c>
      <c r="B1189" t="s">
        <v>121</v>
      </c>
      <c r="C1189" t="s">
        <v>49</v>
      </c>
      <c r="D1189" t="s">
        <v>51</v>
      </c>
      <c r="E1189" t="s">
        <v>51</v>
      </c>
      <c r="F1189" t="s">
        <v>51</v>
      </c>
      <c r="G1189" t="s">
        <v>52</v>
      </c>
      <c r="H1189" t="s">
        <v>52</v>
      </c>
      <c r="I1189" t="s">
        <v>52</v>
      </c>
      <c r="J1189" t="s">
        <v>590</v>
      </c>
      <c r="K1189" t="s">
        <v>52</v>
      </c>
      <c r="L1189" t="s">
        <v>681</v>
      </c>
      <c r="M1189" t="s">
        <v>654</v>
      </c>
      <c r="N1189" t="s">
        <v>163</v>
      </c>
      <c r="O1189" t="s">
        <v>682</v>
      </c>
      <c r="P1189" t="s">
        <v>682</v>
      </c>
      <c r="Q1189" t="s">
        <v>51</v>
      </c>
      <c r="R1189" t="s">
        <v>51</v>
      </c>
      <c r="S1189" t="s">
        <v>51</v>
      </c>
      <c r="T1189" t="s">
        <v>51</v>
      </c>
    </row>
    <row r="1190" spans="1:20">
      <c r="A1190" t="s">
        <v>635</v>
      </c>
      <c r="B1190" t="s">
        <v>123</v>
      </c>
      <c r="C1190" t="s">
        <v>49</v>
      </c>
      <c r="D1190" t="s">
        <v>51</v>
      </c>
      <c r="E1190" t="s">
        <v>51</v>
      </c>
      <c r="F1190" t="s">
        <v>51</v>
      </c>
      <c r="G1190" t="s">
        <v>52</v>
      </c>
      <c r="H1190" t="s">
        <v>52</v>
      </c>
      <c r="I1190" t="s">
        <v>52</v>
      </c>
      <c r="J1190" t="s">
        <v>590</v>
      </c>
      <c r="K1190" t="s">
        <v>52</v>
      </c>
      <c r="L1190" t="s">
        <v>681</v>
      </c>
      <c r="M1190" t="s">
        <v>654</v>
      </c>
      <c r="N1190" t="s">
        <v>163</v>
      </c>
      <c r="O1190" t="s">
        <v>682</v>
      </c>
      <c r="P1190" t="s">
        <v>682</v>
      </c>
      <c r="Q1190" t="s">
        <v>51</v>
      </c>
      <c r="R1190" t="s">
        <v>51</v>
      </c>
      <c r="S1190" t="s">
        <v>51</v>
      </c>
      <c r="T1190" t="s">
        <v>51</v>
      </c>
    </row>
    <row r="1191" spans="1:20">
      <c r="A1191" t="s">
        <v>636</v>
      </c>
      <c r="B1191" t="s">
        <v>125</v>
      </c>
      <c r="C1191" t="s">
        <v>49</v>
      </c>
      <c r="D1191" t="s">
        <v>51</v>
      </c>
      <c r="E1191" t="s">
        <v>51</v>
      </c>
      <c r="F1191" t="s">
        <v>51</v>
      </c>
      <c r="G1191" t="s">
        <v>52</v>
      </c>
      <c r="H1191" t="s">
        <v>52</v>
      </c>
      <c r="I1191" t="s">
        <v>52</v>
      </c>
      <c r="J1191" t="s">
        <v>590</v>
      </c>
      <c r="K1191" t="s">
        <v>52</v>
      </c>
      <c r="L1191" t="s">
        <v>681</v>
      </c>
      <c r="M1191" t="s">
        <v>654</v>
      </c>
      <c r="N1191" t="s">
        <v>163</v>
      </c>
      <c r="O1191" t="s">
        <v>682</v>
      </c>
      <c r="P1191" t="s">
        <v>682</v>
      </c>
      <c r="Q1191" t="s">
        <v>51</v>
      </c>
      <c r="R1191" t="s">
        <v>51</v>
      </c>
      <c r="S1191" t="s">
        <v>51</v>
      </c>
      <c r="T1191" t="s">
        <v>51</v>
      </c>
    </row>
    <row r="1192" spans="1:20">
      <c r="A1192" t="s">
        <v>637</v>
      </c>
      <c r="B1192" t="s">
        <v>127</v>
      </c>
      <c r="C1192" t="s">
        <v>49</v>
      </c>
      <c r="D1192" t="s">
        <v>51</v>
      </c>
      <c r="E1192" t="s">
        <v>51</v>
      </c>
      <c r="F1192" t="s">
        <v>51</v>
      </c>
      <c r="G1192" t="s">
        <v>52</v>
      </c>
      <c r="H1192" t="s">
        <v>52</v>
      </c>
      <c r="I1192" t="s">
        <v>52</v>
      </c>
      <c r="J1192" t="s">
        <v>590</v>
      </c>
      <c r="K1192" t="s">
        <v>52</v>
      </c>
      <c r="L1192" t="s">
        <v>681</v>
      </c>
      <c r="M1192" t="s">
        <v>654</v>
      </c>
      <c r="N1192" t="s">
        <v>163</v>
      </c>
      <c r="O1192" t="s">
        <v>682</v>
      </c>
      <c r="P1192" t="s">
        <v>682</v>
      </c>
      <c r="Q1192" t="s">
        <v>51</v>
      </c>
      <c r="R1192" t="s">
        <v>51</v>
      </c>
      <c r="S1192" t="s">
        <v>51</v>
      </c>
      <c r="T1192" t="s">
        <v>51</v>
      </c>
    </row>
    <row r="1193" spans="1:20">
      <c r="A1193" t="s">
        <v>638</v>
      </c>
      <c r="B1193" t="s">
        <v>129</v>
      </c>
      <c r="C1193" t="s">
        <v>49</v>
      </c>
      <c r="D1193" t="s">
        <v>51</v>
      </c>
      <c r="E1193" t="s">
        <v>51</v>
      </c>
      <c r="F1193" t="s">
        <v>51</v>
      </c>
      <c r="G1193" t="s">
        <v>52</v>
      </c>
      <c r="H1193" t="s">
        <v>52</v>
      </c>
      <c r="I1193" t="s">
        <v>52</v>
      </c>
      <c r="J1193" t="s">
        <v>590</v>
      </c>
      <c r="K1193" t="s">
        <v>52</v>
      </c>
      <c r="L1193" t="s">
        <v>681</v>
      </c>
      <c r="M1193" t="s">
        <v>654</v>
      </c>
      <c r="N1193" t="s">
        <v>163</v>
      </c>
      <c r="O1193" t="s">
        <v>682</v>
      </c>
      <c r="P1193" t="s">
        <v>682</v>
      </c>
      <c r="Q1193" t="s">
        <v>51</v>
      </c>
      <c r="R1193" t="s">
        <v>51</v>
      </c>
      <c r="S1193" t="s">
        <v>51</v>
      </c>
      <c r="T1193" t="s">
        <v>51</v>
      </c>
    </row>
    <row r="1194" spans="1:20">
      <c r="A1194" t="s">
        <v>639</v>
      </c>
      <c r="B1194" t="s">
        <v>131</v>
      </c>
      <c r="C1194" t="s">
        <v>49</v>
      </c>
      <c r="D1194" t="s">
        <v>51</v>
      </c>
      <c r="E1194" t="s">
        <v>51</v>
      </c>
      <c r="F1194" t="s">
        <v>51</v>
      </c>
      <c r="G1194" t="s">
        <v>52</v>
      </c>
      <c r="H1194" t="s">
        <v>52</v>
      </c>
      <c r="I1194" t="s">
        <v>52</v>
      </c>
      <c r="J1194" t="s">
        <v>590</v>
      </c>
      <c r="K1194" t="s">
        <v>52</v>
      </c>
      <c r="L1194" t="s">
        <v>681</v>
      </c>
      <c r="M1194" t="s">
        <v>654</v>
      </c>
      <c r="N1194" t="s">
        <v>163</v>
      </c>
      <c r="O1194" t="s">
        <v>682</v>
      </c>
      <c r="P1194" t="s">
        <v>682</v>
      </c>
      <c r="Q1194" t="s">
        <v>51</v>
      </c>
      <c r="R1194" t="s">
        <v>51</v>
      </c>
      <c r="S1194" t="s">
        <v>51</v>
      </c>
      <c r="T1194" t="s">
        <v>51</v>
      </c>
    </row>
    <row r="1195" spans="1:20">
      <c r="A1195" t="s">
        <v>640</v>
      </c>
      <c r="B1195" t="s">
        <v>133</v>
      </c>
      <c r="C1195" t="s">
        <v>49</v>
      </c>
      <c r="D1195" t="s">
        <v>51</v>
      </c>
      <c r="E1195" t="s">
        <v>51</v>
      </c>
      <c r="F1195" t="s">
        <v>51</v>
      </c>
      <c r="G1195" t="s">
        <v>52</v>
      </c>
      <c r="H1195" t="s">
        <v>52</v>
      </c>
      <c r="I1195" t="s">
        <v>52</v>
      </c>
      <c r="J1195" t="s">
        <v>590</v>
      </c>
      <c r="K1195" t="s">
        <v>52</v>
      </c>
      <c r="L1195" t="s">
        <v>681</v>
      </c>
      <c r="M1195" t="s">
        <v>654</v>
      </c>
      <c r="N1195" t="s">
        <v>163</v>
      </c>
      <c r="O1195" t="s">
        <v>682</v>
      </c>
      <c r="P1195" t="s">
        <v>682</v>
      </c>
      <c r="Q1195" t="s">
        <v>51</v>
      </c>
      <c r="R1195" t="s">
        <v>51</v>
      </c>
      <c r="S1195" t="s">
        <v>51</v>
      </c>
      <c r="T1195" t="s">
        <v>51</v>
      </c>
    </row>
    <row r="1196" spans="1:20">
      <c r="A1196" t="s">
        <v>641</v>
      </c>
      <c r="B1196" t="s">
        <v>135</v>
      </c>
      <c r="C1196" t="s">
        <v>49</v>
      </c>
      <c r="D1196" t="s">
        <v>51</v>
      </c>
      <c r="E1196" t="s">
        <v>51</v>
      </c>
      <c r="F1196" t="s">
        <v>51</v>
      </c>
      <c r="G1196" t="s">
        <v>52</v>
      </c>
      <c r="H1196" t="s">
        <v>52</v>
      </c>
      <c r="I1196" t="s">
        <v>52</v>
      </c>
      <c r="J1196" t="s">
        <v>590</v>
      </c>
      <c r="K1196" t="s">
        <v>52</v>
      </c>
      <c r="L1196" t="s">
        <v>681</v>
      </c>
      <c r="M1196" t="s">
        <v>654</v>
      </c>
      <c r="N1196" t="s">
        <v>163</v>
      </c>
      <c r="O1196" t="s">
        <v>682</v>
      </c>
      <c r="P1196" t="s">
        <v>682</v>
      </c>
      <c r="Q1196" t="s">
        <v>51</v>
      </c>
      <c r="R1196" t="s">
        <v>51</v>
      </c>
      <c r="S1196" t="s">
        <v>51</v>
      </c>
      <c r="T1196" t="s">
        <v>51</v>
      </c>
    </row>
    <row r="1197" spans="1:20">
      <c r="A1197" t="s">
        <v>642</v>
      </c>
      <c r="B1197" t="s">
        <v>137</v>
      </c>
      <c r="C1197" t="s">
        <v>49</v>
      </c>
      <c r="D1197" t="s">
        <v>51</v>
      </c>
      <c r="E1197" t="s">
        <v>51</v>
      </c>
      <c r="F1197" t="s">
        <v>51</v>
      </c>
      <c r="G1197" t="s">
        <v>52</v>
      </c>
      <c r="H1197" t="s">
        <v>52</v>
      </c>
      <c r="I1197" t="s">
        <v>52</v>
      </c>
      <c r="J1197" t="s">
        <v>590</v>
      </c>
      <c r="K1197" t="s">
        <v>52</v>
      </c>
      <c r="L1197" t="s">
        <v>681</v>
      </c>
      <c r="M1197" t="s">
        <v>654</v>
      </c>
      <c r="N1197" t="s">
        <v>163</v>
      </c>
      <c r="O1197" t="s">
        <v>682</v>
      </c>
      <c r="P1197" t="s">
        <v>682</v>
      </c>
      <c r="Q1197" t="s">
        <v>51</v>
      </c>
      <c r="R1197" t="s">
        <v>51</v>
      </c>
      <c r="S1197" t="s">
        <v>51</v>
      </c>
      <c r="T1197" t="s">
        <v>51</v>
      </c>
    </row>
    <row r="1198" spans="1:20">
      <c r="A1198" t="s">
        <v>643</v>
      </c>
      <c r="B1198" t="s">
        <v>139</v>
      </c>
      <c r="C1198" t="s">
        <v>49</v>
      </c>
      <c r="D1198" t="s">
        <v>51</v>
      </c>
      <c r="E1198" t="s">
        <v>51</v>
      </c>
      <c r="F1198" t="s">
        <v>51</v>
      </c>
      <c r="G1198" t="s">
        <v>52</v>
      </c>
      <c r="H1198" t="s">
        <v>52</v>
      </c>
      <c r="I1198" t="s">
        <v>52</v>
      </c>
      <c r="J1198" t="s">
        <v>590</v>
      </c>
      <c r="K1198" t="s">
        <v>52</v>
      </c>
      <c r="L1198" t="s">
        <v>681</v>
      </c>
      <c r="M1198" t="s">
        <v>654</v>
      </c>
      <c r="N1198" t="s">
        <v>163</v>
      </c>
      <c r="O1198" t="s">
        <v>682</v>
      </c>
      <c r="P1198" t="s">
        <v>682</v>
      </c>
      <c r="Q1198" t="s">
        <v>51</v>
      </c>
      <c r="R1198" t="s">
        <v>51</v>
      </c>
      <c r="S1198" t="s">
        <v>51</v>
      </c>
      <c r="T1198" t="s">
        <v>51</v>
      </c>
    </row>
    <row r="1199" spans="1:20">
      <c r="A1199" t="s">
        <v>644</v>
      </c>
      <c r="B1199" t="s">
        <v>141</v>
      </c>
      <c r="C1199" t="s">
        <v>49</v>
      </c>
      <c r="D1199" t="s">
        <v>51</v>
      </c>
      <c r="E1199" t="s">
        <v>51</v>
      </c>
      <c r="F1199" t="s">
        <v>51</v>
      </c>
      <c r="G1199" t="s">
        <v>52</v>
      </c>
      <c r="H1199" t="s">
        <v>52</v>
      </c>
      <c r="I1199" t="s">
        <v>52</v>
      </c>
      <c r="J1199" t="s">
        <v>590</v>
      </c>
      <c r="K1199" t="s">
        <v>52</v>
      </c>
      <c r="L1199" t="s">
        <v>681</v>
      </c>
      <c r="M1199" t="s">
        <v>654</v>
      </c>
      <c r="N1199" t="s">
        <v>163</v>
      </c>
      <c r="O1199" t="s">
        <v>682</v>
      </c>
      <c r="P1199" t="s">
        <v>682</v>
      </c>
      <c r="Q1199" t="s">
        <v>51</v>
      </c>
      <c r="R1199" t="s">
        <v>51</v>
      </c>
      <c r="S1199" t="s">
        <v>51</v>
      </c>
      <c r="T1199" t="s">
        <v>51</v>
      </c>
    </row>
    <row r="1200" spans="1:20">
      <c r="A1200" t="s">
        <v>645</v>
      </c>
      <c r="B1200" t="s">
        <v>143</v>
      </c>
      <c r="C1200" t="s">
        <v>49</v>
      </c>
      <c r="D1200" t="s">
        <v>51</v>
      </c>
      <c r="E1200" t="s">
        <v>51</v>
      </c>
      <c r="F1200" t="s">
        <v>51</v>
      </c>
      <c r="G1200" t="s">
        <v>52</v>
      </c>
      <c r="H1200" t="s">
        <v>52</v>
      </c>
      <c r="I1200" t="s">
        <v>52</v>
      </c>
      <c r="J1200" t="s">
        <v>590</v>
      </c>
      <c r="K1200" t="s">
        <v>52</v>
      </c>
      <c r="L1200" t="s">
        <v>681</v>
      </c>
      <c r="M1200" t="s">
        <v>654</v>
      </c>
      <c r="N1200" t="s">
        <v>163</v>
      </c>
      <c r="O1200" t="s">
        <v>682</v>
      </c>
      <c r="P1200" t="s">
        <v>682</v>
      </c>
      <c r="Q1200" t="s">
        <v>51</v>
      </c>
      <c r="R1200" t="s">
        <v>51</v>
      </c>
      <c r="S1200" t="s">
        <v>51</v>
      </c>
      <c r="T1200" t="s">
        <v>51</v>
      </c>
    </row>
    <row r="1201" spans="1:20">
      <c r="A1201" t="s">
        <v>646</v>
      </c>
      <c r="B1201" t="s">
        <v>145</v>
      </c>
      <c r="C1201" t="s">
        <v>49</v>
      </c>
      <c r="D1201" t="s">
        <v>51</v>
      </c>
      <c r="E1201" t="s">
        <v>51</v>
      </c>
      <c r="F1201" t="s">
        <v>51</v>
      </c>
      <c r="G1201" t="s">
        <v>52</v>
      </c>
      <c r="H1201" t="s">
        <v>52</v>
      </c>
      <c r="I1201" t="s">
        <v>52</v>
      </c>
      <c r="J1201" t="s">
        <v>590</v>
      </c>
      <c r="K1201" t="s">
        <v>52</v>
      </c>
      <c r="L1201" t="s">
        <v>681</v>
      </c>
      <c r="M1201" t="s">
        <v>654</v>
      </c>
      <c r="N1201" t="s">
        <v>163</v>
      </c>
      <c r="O1201" t="s">
        <v>682</v>
      </c>
      <c r="P1201" t="s">
        <v>682</v>
      </c>
      <c r="Q1201" t="s">
        <v>51</v>
      </c>
      <c r="R1201" t="s">
        <v>51</v>
      </c>
      <c r="S1201" t="s">
        <v>51</v>
      </c>
      <c r="T1201" t="s">
        <v>51</v>
      </c>
    </row>
    <row r="1202" spans="1:20">
      <c r="A1202" t="s">
        <v>647</v>
      </c>
      <c r="B1202" t="s">
        <v>147</v>
      </c>
      <c r="C1202" t="s">
        <v>49</v>
      </c>
      <c r="D1202" t="s">
        <v>51</v>
      </c>
      <c r="E1202" t="s">
        <v>51</v>
      </c>
      <c r="F1202" t="s">
        <v>51</v>
      </c>
      <c r="G1202" t="s">
        <v>52</v>
      </c>
      <c r="H1202" t="s">
        <v>52</v>
      </c>
      <c r="I1202" t="s">
        <v>52</v>
      </c>
      <c r="J1202" t="s">
        <v>590</v>
      </c>
      <c r="K1202" t="s">
        <v>52</v>
      </c>
      <c r="L1202" t="s">
        <v>681</v>
      </c>
      <c r="M1202" t="s">
        <v>654</v>
      </c>
      <c r="N1202" t="s">
        <v>163</v>
      </c>
      <c r="O1202" t="s">
        <v>682</v>
      </c>
      <c r="P1202" t="s">
        <v>682</v>
      </c>
      <c r="Q1202" t="s">
        <v>51</v>
      </c>
      <c r="R1202" t="s">
        <v>51</v>
      </c>
      <c r="S1202" t="s">
        <v>51</v>
      </c>
      <c r="T1202" t="s">
        <v>51</v>
      </c>
    </row>
    <row r="1203" spans="1:20">
      <c r="A1203" t="s">
        <v>648</v>
      </c>
      <c r="B1203" t="s">
        <v>149</v>
      </c>
      <c r="C1203" t="s">
        <v>49</v>
      </c>
      <c r="D1203" t="s">
        <v>51</v>
      </c>
      <c r="E1203" t="s">
        <v>51</v>
      </c>
      <c r="F1203" t="s">
        <v>51</v>
      </c>
      <c r="G1203" t="s">
        <v>52</v>
      </c>
      <c r="H1203" t="s">
        <v>52</v>
      </c>
      <c r="I1203" t="s">
        <v>52</v>
      </c>
      <c r="J1203" t="s">
        <v>590</v>
      </c>
      <c r="K1203" t="s">
        <v>52</v>
      </c>
      <c r="L1203" t="s">
        <v>681</v>
      </c>
      <c r="M1203" t="s">
        <v>654</v>
      </c>
      <c r="N1203" t="s">
        <v>163</v>
      </c>
      <c r="O1203" t="s">
        <v>682</v>
      </c>
      <c r="P1203" t="s">
        <v>682</v>
      </c>
      <c r="Q1203" t="s">
        <v>51</v>
      </c>
      <c r="R1203" t="s">
        <v>51</v>
      </c>
      <c r="S1203" t="s">
        <v>51</v>
      </c>
      <c r="T1203" t="s">
        <v>51</v>
      </c>
    </row>
    <row r="1204" spans="1:20">
      <c r="A1204" t="s">
        <v>649</v>
      </c>
      <c r="B1204" t="s">
        <v>151</v>
      </c>
      <c r="C1204" t="s">
        <v>49</v>
      </c>
      <c r="D1204" t="s">
        <v>51</v>
      </c>
      <c r="E1204" t="s">
        <v>51</v>
      </c>
      <c r="F1204" t="s">
        <v>51</v>
      </c>
      <c r="G1204" t="s">
        <v>52</v>
      </c>
      <c r="H1204" t="s">
        <v>52</v>
      </c>
      <c r="I1204" t="s">
        <v>52</v>
      </c>
      <c r="J1204" t="s">
        <v>590</v>
      </c>
      <c r="K1204" t="s">
        <v>52</v>
      </c>
      <c r="L1204" t="s">
        <v>681</v>
      </c>
      <c r="M1204" t="s">
        <v>654</v>
      </c>
      <c r="N1204" t="s">
        <v>163</v>
      </c>
      <c r="O1204" t="s">
        <v>682</v>
      </c>
      <c r="P1204" t="s">
        <v>682</v>
      </c>
      <c r="Q1204" t="s">
        <v>51</v>
      </c>
      <c r="R1204" t="s">
        <v>51</v>
      </c>
      <c r="S1204" t="s">
        <v>51</v>
      </c>
      <c r="T1204" t="s">
        <v>51</v>
      </c>
    </row>
    <row r="1205" spans="1:20">
      <c r="A1205" t="s">
        <v>650</v>
      </c>
      <c r="B1205" t="s">
        <v>153</v>
      </c>
      <c r="C1205" t="s">
        <v>49</v>
      </c>
      <c r="D1205" t="s">
        <v>51</v>
      </c>
      <c r="E1205" t="s">
        <v>51</v>
      </c>
      <c r="F1205" t="s">
        <v>51</v>
      </c>
      <c r="G1205" t="s">
        <v>52</v>
      </c>
      <c r="H1205" t="s">
        <v>52</v>
      </c>
      <c r="I1205" t="s">
        <v>52</v>
      </c>
      <c r="J1205" t="s">
        <v>590</v>
      </c>
      <c r="K1205" t="s">
        <v>52</v>
      </c>
      <c r="L1205" t="s">
        <v>681</v>
      </c>
      <c r="M1205" t="s">
        <v>654</v>
      </c>
      <c r="N1205" t="s">
        <v>163</v>
      </c>
      <c r="O1205" t="s">
        <v>682</v>
      </c>
      <c r="P1205" t="s">
        <v>682</v>
      </c>
      <c r="Q1205" t="s">
        <v>51</v>
      </c>
      <c r="R1205" t="s">
        <v>51</v>
      </c>
      <c r="S1205" t="s">
        <v>51</v>
      </c>
      <c r="T1205" t="s">
        <v>51</v>
      </c>
    </row>
    <row r="1206" spans="1:20">
      <c r="A1206" t="s">
        <v>588</v>
      </c>
      <c r="B1206" t="s">
        <v>589</v>
      </c>
      <c r="C1206" t="s">
        <v>165</v>
      </c>
      <c r="D1206" t="s">
        <v>50</v>
      </c>
      <c r="E1206" t="s">
        <v>51</v>
      </c>
      <c r="F1206" t="s">
        <v>51</v>
      </c>
      <c r="G1206" t="s">
        <v>52</v>
      </c>
      <c r="H1206" t="s">
        <v>52</v>
      </c>
      <c r="I1206" t="s">
        <v>52</v>
      </c>
      <c r="J1206" t="s">
        <v>52</v>
      </c>
      <c r="K1206" t="s">
        <v>52</v>
      </c>
      <c r="L1206" t="s">
        <v>683</v>
      </c>
      <c r="M1206" t="s">
        <v>684</v>
      </c>
      <c r="N1206" t="s">
        <v>163</v>
      </c>
      <c r="O1206" t="s">
        <v>685</v>
      </c>
      <c r="P1206" t="s">
        <v>685</v>
      </c>
      <c r="Q1206" t="s">
        <v>51</v>
      </c>
      <c r="R1206" t="s">
        <v>51</v>
      </c>
      <c r="S1206" t="s">
        <v>51</v>
      </c>
      <c r="T1206" t="s">
        <v>51</v>
      </c>
    </row>
    <row r="1207" spans="1:20">
      <c r="A1207" t="s">
        <v>601</v>
      </c>
      <c r="B1207" t="s">
        <v>48</v>
      </c>
      <c r="C1207" t="s">
        <v>49</v>
      </c>
      <c r="D1207" t="s">
        <v>51</v>
      </c>
      <c r="E1207" t="s">
        <v>51</v>
      </c>
      <c r="F1207" t="s">
        <v>51</v>
      </c>
      <c r="G1207" t="s">
        <v>52</v>
      </c>
      <c r="H1207" t="s">
        <v>52</v>
      </c>
      <c r="I1207" t="s">
        <v>52</v>
      </c>
      <c r="J1207" t="s">
        <v>590</v>
      </c>
      <c r="K1207" t="s">
        <v>52</v>
      </c>
      <c r="L1207" t="s">
        <v>683</v>
      </c>
      <c r="M1207" t="s">
        <v>684</v>
      </c>
      <c r="N1207" t="s">
        <v>163</v>
      </c>
      <c r="O1207" t="s">
        <v>685</v>
      </c>
      <c r="P1207" t="s">
        <v>685</v>
      </c>
      <c r="Q1207" t="s">
        <v>51</v>
      </c>
      <c r="R1207" t="s">
        <v>51</v>
      </c>
      <c r="S1207" t="s">
        <v>51</v>
      </c>
      <c r="T1207" t="s">
        <v>51</v>
      </c>
    </row>
    <row r="1208" spans="1:20">
      <c r="A1208" t="s">
        <v>602</v>
      </c>
      <c r="B1208" t="s">
        <v>58</v>
      </c>
      <c r="C1208" t="s">
        <v>49</v>
      </c>
      <c r="D1208" t="s">
        <v>51</v>
      </c>
      <c r="E1208" t="s">
        <v>51</v>
      </c>
      <c r="F1208" t="s">
        <v>51</v>
      </c>
      <c r="G1208" t="s">
        <v>52</v>
      </c>
      <c r="H1208" t="s">
        <v>52</v>
      </c>
      <c r="I1208" t="s">
        <v>52</v>
      </c>
      <c r="J1208" t="s">
        <v>590</v>
      </c>
      <c r="K1208" t="s">
        <v>52</v>
      </c>
      <c r="L1208" t="s">
        <v>683</v>
      </c>
      <c r="M1208" t="s">
        <v>684</v>
      </c>
      <c r="N1208" t="s">
        <v>163</v>
      </c>
      <c r="O1208" t="s">
        <v>685</v>
      </c>
      <c r="P1208" t="s">
        <v>685</v>
      </c>
      <c r="Q1208" t="s">
        <v>51</v>
      </c>
      <c r="R1208" t="s">
        <v>51</v>
      </c>
      <c r="S1208" t="s">
        <v>51</v>
      </c>
      <c r="T1208" t="s">
        <v>51</v>
      </c>
    </row>
    <row r="1209" spans="1:20">
      <c r="A1209" t="s">
        <v>603</v>
      </c>
      <c r="B1209" t="s">
        <v>60</v>
      </c>
      <c r="C1209" t="s">
        <v>49</v>
      </c>
      <c r="D1209" t="s">
        <v>51</v>
      </c>
      <c r="E1209" t="s">
        <v>51</v>
      </c>
      <c r="F1209" t="s">
        <v>51</v>
      </c>
      <c r="G1209" t="s">
        <v>52</v>
      </c>
      <c r="H1209" t="s">
        <v>52</v>
      </c>
      <c r="I1209" t="s">
        <v>52</v>
      </c>
      <c r="J1209" t="s">
        <v>590</v>
      </c>
      <c r="K1209" t="s">
        <v>52</v>
      </c>
      <c r="L1209" t="s">
        <v>683</v>
      </c>
      <c r="M1209" t="s">
        <v>684</v>
      </c>
      <c r="N1209" t="s">
        <v>163</v>
      </c>
      <c r="O1209" t="s">
        <v>685</v>
      </c>
      <c r="P1209" t="s">
        <v>685</v>
      </c>
      <c r="Q1209" t="s">
        <v>51</v>
      </c>
      <c r="R1209" t="s">
        <v>51</v>
      </c>
      <c r="S1209" t="s">
        <v>51</v>
      </c>
      <c r="T1209" t="s">
        <v>51</v>
      </c>
    </row>
    <row r="1210" spans="1:20">
      <c r="A1210" t="s">
        <v>604</v>
      </c>
      <c r="B1210" t="s">
        <v>62</v>
      </c>
      <c r="C1210" t="s">
        <v>49</v>
      </c>
      <c r="D1210" t="s">
        <v>51</v>
      </c>
      <c r="E1210" t="s">
        <v>51</v>
      </c>
      <c r="F1210" t="s">
        <v>51</v>
      </c>
      <c r="G1210" t="s">
        <v>52</v>
      </c>
      <c r="H1210" t="s">
        <v>52</v>
      </c>
      <c r="I1210" t="s">
        <v>52</v>
      </c>
      <c r="J1210" t="s">
        <v>590</v>
      </c>
      <c r="K1210" t="s">
        <v>52</v>
      </c>
      <c r="L1210" t="s">
        <v>683</v>
      </c>
      <c r="M1210" t="s">
        <v>684</v>
      </c>
      <c r="N1210" t="s">
        <v>163</v>
      </c>
      <c r="O1210" t="s">
        <v>685</v>
      </c>
      <c r="P1210" t="s">
        <v>685</v>
      </c>
      <c r="Q1210" t="s">
        <v>51</v>
      </c>
      <c r="R1210" t="s">
        <v>51</v>
      </c>
      <c r="S1210" t="s">
        <v>51</v>
      </c>
      <c r="T1210" t="s">
        <v>51</v>
      </c>
    </row>
    <row r="1211" spans="1:20">
      <c r="A1211" t="s">
        <v>605</v>
      </c>
      <c r="B1211" t="s">
        <v>56</v>
      </c>
      <c r="C1211" t="s">
        <v>49</v>
      </c>
      <c r="D1211" t="s">
        <v>51</v>
      </c>
      <c r="E1211" t="s">
        <v>51</v>
      </c>
      <c r="F1211" t="s">
        <v>51</v>
      </c>
      <c r="G1211" t="s">
        <v>52</v>
      </c>
      <c r="H1211" t="s">
        <v>52</v>
      </c>
      <c r="I1211" t="s">
        <v>52</v>
      </c>
      <c r="J1211" t="s">
        <v>590</v>
      </c>
      <c r="K1211" t="s">
        <v>52</v>
      </c>
      <c r="L1211" t="s">
        <v>683</v>
      </c>
      <c r="M1211" t="s">
        <v>684</v>
      </c>
      <c r="N1211" t="s">
        <v>163</v>
      </c>
      <c r="O1211" t="s">
        <v>685</v>
      </c>
      <c r="P1211" t="s">
        <v>685</v>
      </c>
      <c r="Q1211" t="s">
        <v>51</v>
      </c>
      <c r="R1211" t="s">
        <v>51</v>
      </c>
      <c r="S1211" t="s">
        <v>51</v>
      </c>
      <c r="T1211" t="s">
        <v>51</v>
      </c>
    </row>
    <row r="1212" spans="1:20">
      <c r="A1212" t="s">
        <v>606</v>
      </c>
      <c r="B1212" t="s">
        <v>65</v>
      </c>
      <c r="C1212" t="s">
        <v>49</v>
      </c>
      <c r="D1212" t="s">
        <v>51</v>
      </c>
      <c r="E1212" t="s">
        <v>51</v>
      </c>
      <c r="F1212" t="s">
        <v>51</v>
      </c>
      <c r="G1212" t="s">
        <v>52</v>
      </c>
      <c r="H1212" t="s">
        <v>52</v>
      </c>
      <c r="I1212" t="s">
        <v>52</v>
      </c>
      <c r="J1212" t="s">
        <v>590</v>
      </c>
      <c r="K1212" t="s">
        <v>52</v>
      </c>
      <c r="L1212" t="s">
        <v>683</v>
      </c>
      <c r="M1212" t="s">
        <v>684</v>
      </c>
      <c r="N1212" t="s">
        <v>163</v>
      </c>
      <c r="O1212" t="s">
        <v>685</v>
      </c>
      <c r="P1212" t="s">
        <v>685</v>
      </c>
      <c r="Q1212" t="s">
        <v>51</v>
      </c>
      <c r="R1212" t="s">
        <v>51</v>
      </c>
      <c r="S1212" t="s">
        <v>51</v>
      </c>
      <c r="T1212" t="s">
        <v>51</v>
      </c>
    </row>
    <row r="1213" spans="1:20">
      <c r="A1213" t="s">
        <v>607</v>
      </c>
      <c r="B1213" t="s">
        <v>67</v>
      </c>
      <c r="C1213" t="s">
        <v>49</v>
      </c>
      <c r="D1213" t="s">
        <v>51</v>
      </c>
      <c r="E1213" t="s">
        <v>51</v>
      </c>
      <c r="F1213" t="s">
        <v>51</v>
      </c>
      <c r="G1213" t="s">
        <v>52</v>
      </c>
      <c r="H1213" t="s">
        <v>52</v>
      </c>
      <c r="I1213" t="s">
        <v>52</v>
      </c>
      <c r="J1213" t="s">
        <v>590</v>
      </c>
      <c r="K1213" t="s">
        <v>52</v>
      </c>
      <c r="L1213" t="s">
        <v>683</v>
      </c>
      <c r="M1213" t="s">
        <v>684</v>
      </c>
      <c r="N1213" t="s">
        <v>163</v>
      </c>
      <c r="O1213" t="s">
        <v>685</v>
      </c>
      <c r="P1213" t="s">
        <v>685</v>
      </c>
      <c r="Q1213" t="s">
        <v>51</v>
      </c>
      <c r="R1213" t="s">
        <v>51</v>
      </c>
      <c r="S1213" t="s">
        <v>51</v>
      </c>
      <c r="T1213" t="s">
        <v>51</v>
      </c>
    </row>
    <row r="1214" spans="1:20">
      <c r="A1214" t="s">
        <v>608</v>
      </c>
      <c r="B1214" t="s">
        <v>69</v>
      </c>
      <c r="C1214" t="s">
        <v>49</v>
      </c>
      <c r="D1214" t="s">
        <v>51</v>
      </c>
      <c r="E1214" t="s">
        <v>51</v>
      </c>
      <c r="F1214" t="s">
        <v>51</v>
      </c>
      <c r="G1214" t="s">
        <v>52</v>
      </c>
      <c r="H1214" t="s">
        <v>52</v>
      </c>
      <c r="I1214" t="s">
        <v>52</v>
      </c>
      <c r="J1214" t="s">
        <v>590</v>
      </c>
      <c r="K1214" t="s">
        <v>52</v>
      </c>
      <c r="L1214" t="s">
        <v>683</v>
      </c>
      <c r="M1214" t="s">
        <v>684</v>
      </c>
      <c r="N1214" t="s">
        <v>163</v>
      </c>
      <c r="O1214" t="s">
        <v>685</v>
      </c>
      <c r="P1214" t="s">
        <v>685</v>
      </c>
      <c r="Q1214" t="s">
        <v>51</v>
      </c>
      <c r="R1214" t="s">
        <v>51</v>
      </c>
      <c r="S1214" t="s">
        <v>51</v>
      </c>
      <c r="T1214" t="s">
        <v>51</v>
      </c>
    </row>
    <row r="1215" spans="1:20">
      <c r="A1215" t="s">
        <v>609</v>
      </c>
      <c r="B1215" t="s">
        <v>71</v>
      </c>
      <c r="C1215" t="s">
        <v>49</v>
      </c>
      <c r="D1215" t="s">
        <v>51</v>
      </c>
      <c r="E1215" t="s">
        <v>51</v>
      </c>
      <c r="F1215" t="s">
        <v>51</v>
      </c>
      <c r="G1215" t="s">
        <v>52</v>
      </c>
      <c r="H1215" t="s">
        <v>52</v>
      </c>
      <c r="I1215" t="s">
        <v>52</v>
      </c>
      <c r="J1215" t="s">
        <v>590</v>
      </c>
      <c r="K1215" t="s">
        <v>52</v>
      </c>
      <c r="L1215" t="s">
        <v>683</v>
      </c>
      <c r="M1215" t="s">
        <v>684</v>
      </c>
      <c r="N1215" t="s">
        <v>163</v>
      </c>
      <c r="O1215" t="s">
        <v>685</v>
      </c>
      <c r="P1215" t="s">
        <v>685</v>
      </c>
      <c r="Q1215" t="s">
        <v>51</v>
      </c>
      <c r="R1215" t="s">
        <v>51</v>
      </c>
      <c r="S1215" t="s">
        <v>51</v>
      </c>
      <c r="T1215" t="s">
        <v>51</v>
      </c>
    </row>
    <row r="1216" spans="1:20">
      <c r="A1216" t="s">
        <v>610</v>
      </c>
      <c r="B1216" t="s">
        <v>73</v>
      </c>
      <c r="C1216" t="s">
        <v>49</v>
      </c>
      <c r="D1216" t="s">
        <v>51</v>
      </c>
      <c r="E1216" t="s">
        <v>51</v>
      </c>
      <c r="F1216" t="s">
        <v>51</v>
      </c>
      <c r="G1216" t="s">
        <v>52</v>
      </c>
      <c r="H1216" t="s">
        <v>52</v>
      </c>
      <c r="I1216" t="s">
        <v>52</v>
      </c>
      <c r="J1216" t="s">
        <v>590</v>
      </c>
      <c r="K1216" t="s">
        <v>52</v>
      </c>
      <c r="L1216" t="s">
        <v>683</v>
      </c>
      <c r="M1216" t="s">
        <v>684</v>
      </c>
      <c r="N1216" t="s">
        <v>163</v>
      </c>
      <c r="O1216" t="s">
        <v>685</v>
      </c>
      <c r="P1216" t="s">
        <v>685</v>
      </c>
      <c r="Q1216" t="s">
        <v>51</v>
      </c>
      <c r="R1216" t="s">
        <v>51</v>
      </c>
      <c r="S1216" t="s">
        <v>51</v>
      </c>
      <c r="T1216" t="s">
        <v>51</v>
      </c>
    </row>
    <row r="1217" spans="1:20">
      <c r="A1217" t="s">
        <v>611</v>
      </c>
      <c r="B1217" t="s">
        <v>75</v>
      </c>
      <c r="C1217" t="s">
        <v>49</v>
      </c>
      <c r="D1217" t="s">
        <v>51</v>
      </c>
      <c r="E1217" t="s">
        <v>51</v>
      </c>
      <c r="F1217" t="s">
        <v>51</v>
      </c>
      <c r="G1217" t="s">
        <v>52</v>
      </c>
      <c r="H1217" t="s">
        <v>52</v>
      </c>
      <c r="I1217" t="s">
        <v>52</v>
      </c>
      <c r="J1217" t="s">
        <v>590</v>
      </c>
      <c r="K1217" t="s">
        <v>52</v>
      </c>
      <c r="L1217" t="s">
        <v>683</v>
      </c>
      <c r="M1217" t="s">
        <v>684</v>
      </c>
      <c r="N1217" t="s">
        <v>163</v>
      </c>
      <c r="O1217" t="s">
        <v>685</v>
      </c>
      <c r="P1217" t="s">
        <v>685</v>
      </c>
      <c r="Q1217" t="s">
        <v>51</v>
      </c>
      <c r="R1217" t="s">
        <v>51</v>
      </c>
      <c r="S1217" t="s">
        <v>51</v>
      </c>
      <c r="T1217" t="s">
        <v>51</v>
      </c>
    </row>
    <row r="1218" spans="1:20">
      <c r="A1218" t="s">
        <v>612</v>
      </c>
      <c r="B1218" t="s">
        <v>77</v>
      </c>
      <c r="C1218" t="s">
        <v>49</v>
      </c>
      <c r="D1218" t="s">
        <v>51</v>
      </c>
      <c r="E1218" t="s">
        <v>51</v>
      </c>
      <c r="F1218" t="s">
        <v>51</v>
      </c>
      <c r="G1218" t="s">
        <v>52</v>
      </c>
      <c r="H1218" t="s">
        <v>52</v>
      </c>
      <c r="I1218" t="s">
        <v>52</v>
      </c>
      <c r="J1218" t="s">
        <v>590</v>
      </c>
      <c r="K1218" t="s">
        <v>52</v>
      </c>
      <c r="L1218" t="s">
        <v>683</v>
      </c>
      <c r="M1218" t="s">
        <v>684</v>
      </c>
      <c r="N1218" t="s">
        <v>163</v>
      </c>
      <c r="O1218" t="s">
        <v>685</v>
      </c>
      <c r="P1218" t="s">
        <v>685</v>
      </c>
      <c r="Q1218" t="s">
        <v>51</v>
      </c>
      <c r="R1218" t="s">
        <v>51</v>
      </c>
      <c r="S1218" t="s">
        <v>51</v>
      </c>
      <c r="T1218" t="s">
        <v>51</v>
      </c>
    </row>
    <row r="1219" spans="1:20">
      <c r="A1219" t="s">
        <v>613</v>
      </c>
      <c r="B1219" t="s">
        <v>79</v>
      </c>
      <c r="C1219" t="s">
        <v>49</v>
      </c>
      <c r="D1219" t="s">
        <v>51</v>
      </c>
      <c r="E1219" t="s">
        <v>51</v>
      </c>
      <c r="F1219" t="s">
        <v>51</v>
      </c>
      <c r="G1219" t="s">
        <v>52</v>
      </c>
      <c r="H1219" t="s">
        <v>52</v>
      </c>
      <c r="I1219" t="s">
        <v>52</v>
      </c>
      <c r="J1219" t="s">
        <v>590</v>
      </c>
      <c r="K1219" t="s">
        <v>52</v>
      </c>
      <c r="L1219" t="s">
        <v>683</v>
      </c>
      <c r="M1219" t="s">
        <v>684</v>
      </c>
      <c r="N1219" t="s">
        <v>163</v>
      </c>
      <c r="O1219" t="s">
        <v>685</v>
      </c>
      <c r="P1219" t="s">
        <v>685</v>
      </c>
      <c r="Q1219" t="s">
        <v>51</v>
      </c>
      <c r="R1219" t="s">
        <v>51</v>
      </c>
      <c r="S1219" t="s">
        <v>51</v>
      </c>
      <c r="T1219" t="s">
        <v>51</v>
      </c>
    </row>
    <row r="1220" spans="1:20">
      <c r="A1220" t="s">
        <v>614</v>
      </c>
      <c r="B1220" t="s">
        <v>81</v>
      </c>
      <c r="C1220" t="s">
        <v>49</v>
      </c>
      <c r="D1220" t="s">
        <v>51</v>
      </c>
      <c r="E1220" t="s">
        <v>51</v>
      </c>
      <c r="F1220" t="s">
        <v>51</v>
      </c>
      <c r="G1220" t="s">
        <v>52</v>
      </c>
      <c r="H1220" t="s">
        <v>52</v>
      </c>
      <c r="I1220" t="s">
        <v>52</v>
      </c>
      <c r="J1220" t="s">
        <v>590</v>
      </c>
      <c r="K1220" t="s">
        <v>52</v>
      </c>
      <c r="L1220" t="s">
        <v>683</v>
      </c>
      <c r="M1220" t="s">
        <v>684</v>
      </c>
      <c r="N1220" t="s">
        <v>163</v>
      </c>
      <c r="O1220" t="s">
        <v>685</v>
      </c>
      <c r="P1220" t="s">
        <v>685</v>
      </c>
      <c r="Q1220" t="s">
        <v>51</v>
      </c>
      <c r="R1220" t="s">
        <v>51</v>
      </c>
      <c r="S1220" t="s">
        <v>51</v>
      </c>
      <c r="T1220" t="s">
        <v>51</v>
      </c>
    </row>
    <row r="1221" spans="1:20">
      <c r="A1221" t="s">
        <v>615</v>
      </c>
      <c r="B1221" t="s">
        <v>83</v>
      </c>
      <c r="C1221" t="s">
        <v>49</v>
      </c>
      <c r="D1221" t="s">
        <v>51</v>
      </c>
      <c r="E1221" t="s">
        <v>51</v>
      </c>
      <c r="F1221" t="s">
        <v>51</v>
      </c>
      <c r="G1221" t="s">
        <v>52</v>
      </c>
      <c r="H1221" t="s">
        <v>52</v>
      </c>
      <c r="I1221" t="s">
        <v>52</v>
      </c>
      <c r="J1221" t="s">
        <v>590</v>
      </c>
      <c r="K1221" t="s">
        <v>52</v>
      </c>
      <c r="L1221" t="s">
        <v>683</v>
      </c>
      <c r="M1221" t="s">
        <v>684</v>
      </c>
      <c r="N1221" t="s">
        <v>163</v>
      </c>
      <c r="O1221" t="s">
        <v>685</v>
      </c>
      <c r="P1221" t="s">
        <v>685</v>
      </c>
      <c r="Q1221" t="s">
        <v>51</v>
      </c>
      <c r="R1221" t="s">
        <v>51</v>
      </c>
      <c r="S1221" t="s">
        <v>51</v>
      </c>
      <c r="T1221" t="s">
        <v>51</v>
      </c>
    </row>
    <row r="1222" spans="1:20">
      <c r="A1222" t="s">
        <v>616</v>
      </c>
      <c r="B1222" t="s">
        <v>85</v>
      </c>
      <c r="C1222" t="s">
        <v>49</v>
      </c>
      <c r="D1222" t="s">
        <v>51</v>
      </c>
      <c r="E1222" t="s">
        <v>51</v>
      </c>
      <c r="F1222" t="s">
        <v>51</v>
      </c>
      <c r="G1222" t="s">
        <v>52</v>
      </c>
      <c r="H1222" t="s">
        <v>52</v>
      </c>
      <c r="I1222" t="s">
        <v>52</v>
      </c>
      <c r="J1222" t="s">
        <v>590</v>
      </c>
      <c r="K1222" t="s">
        <v>52</v>
      </c>
      <c r="L1222" t="s">
        <v>683</v>
      </c>
      <c r="M1222" t="s">
        <v>684</v>
      </c>
      <c r="N1222" t="s">
        <v>163</v>
      </c>
      <c r="O1222" t="s">
        <v>685</v>
      </c>
      <c r="P1222" t="s">
        <v>685</v>
      </c>
      <c r="Q1222" t="s">
        <v>51</v>
      </c>
      <c r="R1222" t="s">
        <v>51</v>
      </c>
      <c r="S1222" t="s">
        <v>51</v>
      </c>
      <c r="T1222" t="s">
        <v>51</v>
      </c>
    </row>
    <row r="1223" spans="1:20">
      <c r="A1223" t="s">
        <v>617</v>
      </c>
      <c r="B1223" t="s">
        <v>87</v>
      </c>
      <c r="C1223" t="s">
        <v>49</v>
      </c>
      <c r="D1223" t="s">
        <v>51</v>
      </c>
      <c r="E1223" t="s">
        <v>51</v>
      </c>
      <c r="F1223" t="s">
        <v>51</v>
      </c>
      <c r="G1223" t="s">
        <v>52</v>
      </c>
      <c r="H1223" t="s">
        <v>52</v>
      </c>
      <c r="I1223" t="s">
        <v>52</v>
      </c>
      <c r="J1223" t="s">
        <v>590</v>
      </c>
      <c r="K1223" t="s">
        <v>52</v>
      </c>
      <c r="L1223" t="s">
        <v>683</v>
      </c>
      <c r="M1223" t="s">
        <v>684</v>
      </c>
      <c r="N1223" t="s">
        <v>163</v>
      </c>
      <c r="O1223" t="s">
        <v>685</v>
      </c>
      <c r="P1223" t="s">
        <v>685</v>
      </c>
      <c r="Q1223" t="s">
        <v>51</v>
      </c>
      <c r="R1223" t="s">
        <v>51</v>
      </c>
      <c r="S1223" t="s">
        <v>51</v>
      </c>
      <c r="T1223" t="s">
        <v>51</v>
      </c>
    </row>
    <row r="1224" spans="1:20">
      <c r="A1224" t="s">
        <v>618</v>
      </c>
      <c r="B1224" t="s">
        <v>89</v>
      </c>
      <c r="C1224" t="s">
        <v>49</v>
      </c>
      <c r="D1224" t="s">
        <v>51</v>
      </c>
      <c r="E1224" t="s">
        <v>51</v>
      </c>
      <c r="F1224" t="s">
        <v>51</v>
      </c>
      <c r="G1224" t="s">
        <v>52</v>
      </c>
      <c r="H1224" t="s">
        <v>52</v>
      </c>
      <c r="I1224" t="s">
        <v>52</v>
      </c>
      <c r="J1224" t="s">
        <v>590</v>
      </c>
      <c r="K1224" t="s">
        <v>52</v>
      </c>
      <c r="L1224" t="s">
        <v>683</v>
      </c>
      <c r="M1224" t="s">
        <v>684</v>
      </c>
      <c r="N1224" t="s">
        <v>163</v>
      </c>
      <c r="O1224" t="s">
        <v>685</v>
      </c>
      <c r="P1224" t="s">
        <v>685</v>
      </c>
      <c r="Q1224" t="s">
        <v>51</v>
      </c>
      <c r="R1224" t="s">
        <v>51</v>
      </c>
      <c r="S1224" t="s">
        <v>51</v>
      </c>
      <c r="T1224" t="s">
        <v>51</v>
      </c>
    </row>
    <row r="1225" spans="1:20">
      <c r="A1225" t="s">
        <v>619</v>
      </c>
      <c r="B1225" t="s">
        <v>91</v>
      </c>
      <c r="C1225" t="s">
        <v>49</v>
      </c>
      <c r="D1225" t="s">
        <v>51</v>
      </c>
      <c r="E1225" t="s">
        <v>51</v>
      </c>
      <c r="F1225" t="s">
        <v>51</v>
      </c>
      <c r="G1225" t="s">
        <v>52</v>
      </c>
      <c r="H1225" t="s">
        <v>52</v>
      </c>
      <c r="I1225" t="s">
        <v>52</v>
      </c>
      <c r="J1225" t="s">
        <v>590</v>
      </c>
      <c r="K1225" t="s">
        <v>52</v>
      </c>
      <c r="L1225" t="s">
        <v>683</v>
      </c>
      <c r="M1225" t="s">
        <v>684</v>
      </c>
      <c r="N1225" t="s">
        <v>163</v>
      </c>
      <c r="O1225" t="s">
        <v>685</v>
      </c>
      <c r="P1225" t="s">
        <v>685</v>
      </c>
      <c r="Q1225" t="s">
        <v>51</v>
      </c>
      <c r="R1225" t="s">
        <v>51</v>
      </c>
      <c r="S1225" t="s">
        <v>51</v>
      </c>
      <c r="T1225" t="s">
        <v>51</v>
      </c>
    </row>
    <row r="1226" spans="1:20">
      <c r="A1226" t="s">
        <v>620</v>
      </c>
      <c r="B1226" t="s">
        <v>93</v>
      </c>
      <c r="C1226" t="s">
        <v>49</v>
      </c>
      <c r="D1226" t="s">
        <v>51</v>
      </c>
      <c r="E1226" t="s">
        <v>51</v>
      </c>
      <c r="F1226" t="s">
        <v>51</v>
      </c>
      <c r="G1226" t="s">
        <v>52</v>
      </c>
      <c r="H1226" t="s">
        <v>52</v>
      </c>
      <c r="I1226" t="s">
        <v>52</v>
      </c>
      <c r="J1226" t="s">
        <v>590</v>
      </c>
      <c r="K1226" t="s">
        <v>52</v>
      </c>
      <c r="L1226" t="s">
        <v>683</v>
      </c>
      <c r="M1226" t="s">
        <v>684</v>
      </c>
      <c r="N1226" t="s">
        <v>163</v>
      </c>
      <c r="O1226" t="s">
        <v>685</v>
      </c>
      <c r="P1226" t="s">
        <v>685</v>
      </c>
      <c r="Q1226" t="s">
        <v>51</v>
      </c>
      <c r="R1226" t="s">
        <v>51</v>
      </c>
      <c r="S1226" t="s">
        <v>51</v>
      </c>
      <c r="T1226" t="s">
        <v>51</v>
      </c>
    </row>
    <row r="1227" spans="1:20">
      <c r="A1227" t="s">
        <v>621</v>
      </c>
      <c r="B1227" t="s">
        <v>95</v>
      </c>
      <c r="C1227" t="s">
        <v>49</v>
      </c>
      <c r="D1227" t="s">
        <v>51</v>
      </c>
      <c r="E1227" t="s">
        <v>51</v>
      </c>
      <c r="F1227" t="s">
        <v>51</v>
      </c>
      <c r="G1227" t="s">
        <v>52</v>
      </c>
      <c r="H1227" t="s">
        <v>52</v>
      </c>
      <c r="I1227" t="s">
        <v>52</v>
      </c>
      <c r="J1227" t="s">
        <v>590</v>
      </c>
      <c r="K1227" t="s">
        <v>52</v>
      </c>
      <c r="L1227" t="s">
        <v>683</v>
      </c>
      <c r="M1227" t="s">
        <v>684</v>
      </c>
      <c r="N1227" t="s">
        <v>163</v>
      </c>
      <c r="O1227" t="s">
        <v>685</v>
      </c>
      <c r="P1227" t="s">
        <v>685</v>
      </c>
      <c r="Q1227" t="s">
        <v>51</v>
      </c>
      <c r="R1227" t="s">
        <v>51</v>
      </c>
      <c r="S1227" t="s">
        <v>51</v>
      </c>
      <c r="T1227" t="s">
        <v>51</v>
      </c>
    </row>
    <row r="1228" spans="1:20">
      <c r="A1228" t="s">
        <v>622</v>
      </c>
      <c r="B1228" t="s">
        <v>97</v>
      </c>
      <c r="C1228" t="s">
        <v>49</v>
      </c>
      <c r="D1228" t="s">
        <v>51</v>
      </c>
      <c r="E1228" t="s">
        <v>51</v>
      </c>
      <c r="F1228" t="s">
        <v>51</v>
      </c>
      <c r="G1228" t="s">
        <v>52</v>
      </c>
      <c r="H1228" t="s">
        <v>52</v>
      </c>
      <c r="I1228" t="s">
        <v>52</v>
      </c>
      <c r="J1228" t="s">
        <v>590</v>
      </c>
      <c r="K1228" t="s">
        <v>52</v>
      </c>
      <c r="L1228" t="s">
        <v>683</v>
      </c>
      <c r="M1228" t="s">
        <v>684</v>
      </c>
      <c r="N1228" t="s">
        <v>163</v>
      </c>
      <c r="O1228" t="s">
        <v>685</v>
      </c>
      <c r="P1228" t="s">
        <v>685</v>
      </c>
      <c r="Q1228" t="s">
        <v>51</v>
      </c>
      <c r="R1228" t="s">
        <v>51</v>
      </c>
      <c r="S1228" t="s">
        <v>51</v>
      </c>
      <c r="T1228" t="s">
        <v>51</v>
      </c>
    </row>
    <row r="1229" spans="1:20">
      <c r="A1229" t="s">
        <v>623</v>
      </c>
      <c r="B1229" t="s">
        <v>99</v>
      </c>
      <c r="C1229" t="s">
        <v>49</v>
      </c>
      <c r="D1229" t="s">
        <v>51</v>
      </c>
      <c r="E1229" t="s">
        <v>51</v>
      </c>
      <c r="F1229" t="s">
        <v>51</v>
      </c>
      <c r="G1229" t="s">
        <v>52</v>
      </c>
      <c r="H1229" t="s">
        <v>52</v>
      </c>
      <c r="I1229" t="s">
        <v>52</v>
      </c>
      <c r="J1229" t="s">
        <v>590</v>
      </c>
      <c r="K1229" t="s">
        <v>52</v>
      </c>
      <c r="L1229" t="s">
        <v>683</v>
      </c>
      <c r="M1229" t="s">
        <v>684</v>
      </c>
      <c r="N1229" t="s">
        <v>163</v>
      </c>
      <c r="O1229" t="s">
        <v>685</v>
      </c>
      <c r="P1229" t="s">
        <v>685</v>
      </c>
      <c r="Q1229" t="s">
        <v>51</v>
      </c>
      <c r="R1229" t="s">
        <v>51</v>
      </c>
      <c r="S1229" t="s">
        <v>51</v>
      </c>
      <c r="T1229" t="s">
        <v>51</v>
      </c>
    </row>
    <row r="1230" spans="1:20">
      <c r="A1230" t="s">
        <v>624</v>
      </c>
      <c r="B1230" t="s">
        <v>101</v>
      </c>
      <c r="C1230" t="s">
        <v>49</v>
      </c>
      <c r="D1230" t="s">
        <v>51</v>
      </c>
      <c r="E1230" t="s">
        <v>51</v>
      </c>
      <c r="F1230" t="s">
        <v>51</v>
      </c>
      <c r="G1230" t="s">
        <v>52</v>
      </c>
      <c r="H1230" t="s">
        <v>52</v>
      </c>
      <c r="I1230" t="s">
        <v>52</v>
      </c>
      <c r="J1230" t="s">
        <v>590</v>
      </c>
      <c r="K1230" t="s">
        <v>52</v>
      </c>
      <c r="L1230" t="s">
        <v>683</v>
      </c>
      <c r="M1230" t="s">
        <v>684</v>
      </c>
      <c r="N1230" t="s">
        <v>163</v>
      </c>
      <c r="O1230" t="s">
        <v>685</v>
      </c>
      <c r="P1230" t="s">
        <v>685</v>
      </c>
      <c r="Q1230" t="s">
        <v>51</v>
      </c>
      <c r="R1230" t="s">
        <v>51</v>
      </c>
      <c r="S1230" t="s">
        <v>51</v>
      </c>
      <c r="T1230" t="s">
        <v>51</v>
      </c>
    </row>
    <row r="1231" spans="1:20">
      <c r="A1231" t="s">
        <v>625</v>
      </c>
      <c r="B1231" t="s">
        <v>103</v>
      </c>
      <c r="C1231" t="s">
        <v>49</v>
      </c>
      <c r="D1231" t="s">
        <v>51</v>
      </c>
      <c r="E1231" t="s">
        <v>51</v>
      </c>
      <c r="F1231" t="s">
        <v>51</v>
      </c>
      <c r="G1231" t="s">
        <v>52</v>
      </c>
      <c r="H1231" t="s">
        <v>52</v>
      </c>
      <c r="I1231" t="s">
        <v>52</v>
      </c>
      <c r="J1231" t="s">
        <v>590</v>
      </c>
      <c r="K1231" t="s">
        <v>52</v>
      </c>
      <c r="L1231" t="s">
        <v>683</v>
      </c>
      <c r="M1231" t="s">
        <v>684</v>
      </c>
      <c r="N1231" t="s">
        <v>163</v>
      </c>
      <c r="O1231" t="s">
        <v>685</v>
      </c>
      <c r="P1231" t="s">
        <v>685</v>
      </c>
      <c r="Q1231" t="s">
        <v>51</v>
      </c>
      <c r="R1231" t="s">
        <v>51</v>
      </c>
      <c r="S1231" t="s">
        <v>51</v>
      </c>
      <c r="T1231" t="s">
        <v>51</v>
      </c>
    </row>
    <row r="1232" spans="1:20">
      <c r="A1232" t="s">
        <v>626</v>
      </c>
      <c r="B1232" t="s">
        <v>105</v>
      </c>
      <c r="C1232" t="s">
        <v>49</v>
      </c>
      <c r="D1232" t="s">
        <v>51</v>
      </c>
      <c r="E1232" t="s">
        <v>51</v>
      </c>
      <c r="F1232" t="s">
        <v>51</v>
      </c>
      <c r="G1232" t="s">
        <v>52</v>
      </c>
      <c r="H1232" t="s">
        <v>52</v>
      </c>
      <c r="I1232" t="s">
        <v>52</v>
      </c>
      <c r="J1232" t="s">
        <v>590</v>
      </c>
      <c r="K1232" t="s">
        <v>52</v>
      </c>
      <c r="L1232" t="s">
        <v>683</v>
      </c>
      <c r="M1232" t="s">
        <v>684</v>
      </c>
      <c r="N1232" t="s">
        <v>163</v>
      </c>
      <c r="O1232" t="s">
        <v>685</v>
      </c>
      <c r="P1232" t="s">
        <v>685</v>
      </c>
      <c r="Q1232" t="s">
        <v>51</v>
      </c>
      <c r="R1232" t="s">
        <v>51</v>
      </c>
      <c r="S1232" t="s">
        <v>51</v>
      </c>
      <c r="T1232" t="s">
        <v>51</v>
      </c>
    </row>
    <row r="1233" spans="1:20">
      <c r="A1233" t="s">
        <v>627</v>
      </c>
      <c r="B1233" t="s">
        <v>107</v>
      </c>
      <c r="C1233" t="s">
        <v>49</v>
      </c>
      <c r="D1233" t="s">
        <v>51</v>
      </c>
      <c r="E1233" t="s">
        <v>51</v>
      </c>
      <c r="F1233" t="s">
        <v>51</v>
      </c>
      <c r="G1233" t="s">
        <v>52</v>
      </c>
      <c r="H1233" t="s">
        <v>52</v>
      </c>
      <c r="I1233" t="s">
        <v>52</v>
      </c>
      <c r="J1233" t="s">
        <v>590</v>
      </c>
      <c r="K1233" t="s">
        <v>52</v>
      </c>
      <c r="L1233" t="s">
        <v>683</v>
      </c>
      <c r="M1233" t="s">
        <v>684</v>
      </c>
      <c r="N1233" t="s">
        <v>163</v>
      </c>
      <c r="O1233" t="s">
        <v>685</v>
      </c>
      <c r="P1233" t="s">
        <v>685</v>
      </c>
      <c r="Q1233" t="s">
        <v>51</v>
      </c>
      <c r="R1233" t="s">
        <v>51</v>
      </c>
      <c r="S1233" t="s">
        <v>51</v>
      </c>
      <c r="T1233" t="s">
        <v>51</v>
      </c>
    </row>
    <row r="1234" spans="1:20">
      <c r="A1234" t="s">
        <v>628</v>
      </c>
      <c r="B1234" t="s">
        <v>109</v>
      </c>
      <c r="C1234" t="s">
        <v>49</v>
      </c>
      <c r="D1234" t="s">
        <v>51</v>
      </c>
      <c r="E1234" t="s">
        <v>51</v>
      </c>
      <c r="F1234" t="s">
        <v>51</v>
      </c>
      <c r="G1234" t="s">
        <v>52</v>
      </c>
      <c r="H1234" t="s">
        <v>52</v>
      </c>
      <c r="I1234" t="s">
        <v>52</v>
      </c>
      <c r="J1234" t="s">
        <v>590</v>
      </c>
      <c r="K1234" t="s">
        <v>52</v>
      </c>
      <c r="L1234" t="s">
        <v>683</v>
      </c>
      <c r="M1234" t="s">
        <v>684</v>
      </c>
      <c r="N1234" t="s">
        <v>163</v>
      </c>
      <c r="O1234" t="s">
        <v>685</v>
      </c>
      <c r="P1234" t="s">
        <v>685</v>
      </c>
      <c r="Q1234" t="s">
        <v>51</v>
      </c>
      <c r="R1234" t="s">
        <v>51</v>
      </c>
      <c r="S1234" t="s">
        <v>51</v>
      </c>
      <c r="T1234" t="s">
        <v>51</v>
      </c>
    </row>
    <row r="1235" spans="1:20">
      <c r="A1235" t="s">
        <v>629</v>
      </c>
      <c r="B1235" t="s">
        <v>111</v>
      </c>
      <c r="C1235" t="s">
        <v>49</v>
      </c>
      <c r="D1235" t="s">
        <v>51</v>
      </c>
      <c r="E1235" t="s">
        <v>51</v>
      </c>
      <c r="F1235" t="s">
        <v>51</v>
      </c>
      <c r="G1235" t="s">
        <v>52</v>
      </c>
      <c r="H1235" t="s">
        <v>52</v>
      </c>
      <c r="I1235" t="s">
        <v>52</v>
      </c>
      <c r="J1235" t="s">
        <v>590</v>
      </c>
      <c r="K1235" t="s">
        <v>52</v>
      </c>
      <c r="L1235" t="s">
        <v>683</v>
      </c>
      <c r="M1235" t="s">
        <v>684</v>
      </c>
      <c r="N1235" t="s">
        <v>163</v>
      </c>
      <c r="O1235" t="s">
        <v>685</v>
      </c>
      <c r="P1235" t="s">
        <v>685</v>
      </c>
      <c r="Q1235" t="s">
        <v>51</v>
      </c>
      <c r="R1235" t="s">
        <v>51</v>
      </c>
      <c r="S1235" t="s">
        <v>51</v>
      </c>
      <c r="T1235" t="s">
        <v>51</v>
      </c>
    </row>
    <row r="1236" spans="1:20">
      <c r="A1236" t="s">
        <v>630</v>
      </c>
      <c r="B1236" t="s">
        <v>113</v>
      </c>
      <c r="C1236" t="s">
        <v>49</v>
      </c>
      <c r="D1236" t="s">
        <v>51</v>
      </c>
      <c r="E1236" t="s">
        <v>51</v>
      </c>
      <c r="F1236" t="s">
        <v>51</v>
      </c>
      <c r="G1236" t="s">
        <v>52</v>
      </c>
      <c r="H1236" t="s">
        <v>52</v>
      </c>
      <c r="I1236" t="s">
        <v>52</v>
      </c>
      <c r="J1236" t="s">
        <v>590</v>
      </c>
      <c r="K1236" t="s">
        <v>52</v>
      </c>
      <c r="L1236" t="s">
        <v>683</v>
      </c>
      <c r="M1236" t="s">
        <v>684</v>
      </c>
      <c r="N1236" t="s">
        <v>163</v>
      </c>
      <c r="O1236" t="s">
        <v>685</v>
      </c>
      <c r="P1236" t="s">
        <v>685</v>
      </c>
      <c r="Q1236" t="s">
        <v>51</v>
      </c>
      <c r="R1236" t="s">
        <v>51</v>
      </c>
      <c r="S1236" t="s">
        <v>51</v>
      </c>
      <c r="T1236" t="s">
        <v>51</v>
      </c>
    </row>
    <row r="1237" spans="1:20">
      <c r="A1237" t="s">
        <v>631</v>
      </c>
      <c r="B1237" t="s">
        <v>115</v>
      </c>
      <c r="C1237" t="s">
        <v>49</v>
      </c>
      <c r="D1237" t="s">
        <v>51</v>
      </c>
      <c r="E1237" t="s">
        <v>51</v>
      </c>
      <c r="F1237" t="s">
        <v>51</v>
      </c>
      <c r="G1237" t="s">
        <v>52</v>
      </c>
      <c r="H1237" t="s">
        <v>52</v>
      </c>
      <c r="I1237" t="s">
        <v>52</v>
      </c>
      <c r="J1237" t="s">
        <v>590</v>
      </c>
      <c r="K1237" t="s">
        <v>52</v>
      </c>
      <c r="L1237" t="s">
        <v>683</v>
      </c>
      <c r="M1237" t="s">
        <v>684</v>
      </c>
      <c r="N1237" t="s">
        <v>163</v>
      </c>
      <c r="O1237" t="s">
        <v>685</v>
      </c>
      <c r="P1237" t="s">
        <v>685</v>
      </c>
      <c r="Q1237" t="s">
        <v>51</v>
      </c>
      <c r="R1237" t="s">
        <v>51</v>
      </c>
      <c r="S1237" t="s">
        <v>51</v>
      </c>
      <c r="T1237" t="s">
        <v>51</v>
      </c>
    </row>
    <row r="1238" spans="1:20">
      <c r="A1238" t="s">
        <v>632</v>
      </c>
      <c r="B1238" t="s">
        <v>117</v>
      </c>
      <c r="C1238" t="s">
        <v>49</v>
      </c>
      <c r="D1238" t="s">
        <v>51</v>
      </c>
      <c r="E1238" t="s">
        <v>51</v>
      </c>
      <c r="F1238" t="s">
        <v>51</v>
      </c>
      <c r="G1238" t="s">
        <v>52</v>
      </c>
      <c r="H1238" t="s">
        <v>52</v>
      </c>
      <c r="I1238" t="s">
        <v>52</v>
      </c>
      <c r="J1238" t="s">
        <v>590</v>
      </c>
      <c r="K1238" t="s">
        <v>52</v>
      </c>
      <c r="L1238" t="s">
        <v>683</v>
      </c>
      <c r="M1238" t="s">
        <v>684</v>
      </c>
      <c r="N1238" t="s">
        <v>163</v>
      </c>
      <c r="O1238" t="s">
        <v>685</v>
      </c>
      <c r="P1238" t="s">
        <v>685</v>
      </c>
      <c r="Q1238" t="s">
        <v>51</v>
      </c>
      <c r="R1238" t="s">
        <v>51</v>
      </c>
      <c r="S1238" t="s">
        <v>51</v>
      </c>
      <c r="T1238" t="s">
        <v>51</v>
      </c>
    </row>
    <row r="1239" spans="1:20">
      <c r="A1239" t="s">
        <v>633</v>
      </c>
      <c r="B1239" t="s">
        <v>119</v>
      </c>
      <c r="C1239" t="s">
        <v>49</v>
      </c>
      <c r="D1239" t="s">
        <v>51</v>
      </c>
      <c r="E1239" t="s">
        <v>51</v>
      </c>
      <c r="F1239" t="s">
        <v>51</v>
      </c>
      <c r="G1239" t="s">
        <v>52</v>
      </c>
      <c r="H1239" t="s">
        <v>52</v>
      </c>
      <c r="I1239" t="s">
        <v>52</v>
      </c>
      <c r="J1239" t="s">
        <v>590</v>
      </c>
      <c r="K1239" t="s">
        <v>52</v>
      </c>
      <c r="L1239" t="s">
        <v>683</v>
      </c>
      <c r="M1239" t="s">
        <v>684</v>
      </c>
      <c r="N1239" t="s">
        <v>163</v>
      </c>
      <c r="O1239" t="s">
        <v>685</v>
      </c>
      <c r="P1239" t="s">
        <v>685</v>
      </c>
      <c r="Q1239" t="s">
        <v>51</v>
      </c>
      <c r="R1239" t="s">
        <v>51</v>
      </c>
      <c r="S1239" t="s">
        <v>51</v>
      </c>
      <c r="T1239" t="s">
        <v>51</v>
      </c>
    </row>
    <row r="1240" spans="1:20">
      <c r="A1240" t="s">
        <v>634</v>
      </c>
      <c r="B1240" t="s">
        <v>121</v>
      </c>
      <c r="C1240" t="s">
        <v>49</v>
      </c>
      <c r="D1240" t="s">
        <v>51</v>
      </c>
      <c r="E1240" t="s">
        <v>51</v>
      </c>
      <c r="F1240" t="s">
        <v>51</v>
      </c>
      <c r="G1240" t="s">
        <v>52</v>
      </c>
      <c r="H1240" t="s">
        <v>52</v>
      </c>
      <c r="I1240" t="s">
        <v>52</v>
      </c>
      <c r="J1240" t="s">
        <v>590</v>
      </c>
      <c r="K1240" t="s">
        <v>52</v>
      </c>
      <c r="L1240" t="s">
        <v>683</v>
      </c>
      <c r="M1240" t="s">
        <v>684</v>
      </c>
      <c r="N1240" t="s">
        <v>163</v>
      </c>
      <c r="O1240" t="s">
        <v>685</v>
      </c>
      <c r="P1240" t="s">
        <v>685</v>
      </c>
      <c r="Q1240" t="s">
        <v>51</v>
      </c>
      <c r="R1240" t="s">
        <v>51</v>
      </c>
      <c r="S1240" t="s">
        <v>51</v>
      </c>
      <c r="T1240" t="s">
        <v>51</v>
      </c>
    </row>
    <row r="1241" spans="1:20">
      <c r="A1241" t="s">
        <v>635</v>
      </c>
      <c r="B1241" t="s">
        <v>123</v>
      </c>
      <c r="C1241" t="s">
        <v>49</v>
      </c>
      <c r="D1241" t="s">
        <v>51</v>
      </c>
      <c r="E1241" t="s">
        <v>51</v>
      </c>
      <c r="F1241" t="s">
        <v>51</v>
      </c>
      <c r="G1241" t="s">
        <v>52</v>
      </c>
      <c r="H1241" t="s">
        <v>52</v>
      </c>
      <c r="I1241" t="s">
        <v>52</v>
      </c>
      <c r="J1241" t="s">
        <v>590</v>
      </c>
      <c r="K1241" t="s">
        <v>52</v>
      </c>
      <c r="L1241" t="s">
        <v>683</v>
      </c>
      <c r="M1241" t="s">
        <v>684</v>
      </c>
      <c r="N1241" t="s">
        <v>163</v>
      </c>
      <c r="O1241" t="s">
        <v>685</v>
      </c>
      <c r="P1241" t="s">
        <v>685</v>
      </c>
      <c r="Q1241" t="s">
        <v>51</v>
      </c>
      <c r="R1241" t="s">
        <v>51</v>
      </c>
      <c r="S1241" t="s">
        <v>51</v>
      </c>
      <c r="T1241" t="s">
        <v>51</v>
      </c>
    </row>
    <row r="1242" spans="1:20">
      <c r="A1242" t="s">
        <v>636</v>
      </c>
      <c r="B1242" t="s">
        <v>125</v>
      </c>
      <c r="C1242" t="s">
        <v>49</v>
      </c>
      <c r="D1242" t="s">
        <v>51</v>
      </c>
      <c r="E1242" t="s">
        <v>51</v>
      </c>
      <c r="F1242" t="s">
        <v>51</v>
      </c>
      <c r="G1242" t="s">
        <v>52</v>
      </c>
      <c r="H1242" t="s">
        <v>52</v>
      </c>
      <c r="I1242" t="s">
        <v>52</v>
      </c>
      <c r="J1242" t="s">
        <v>590</v>
      </c>
      <c r="K1242" t="s">
        <v>52</v>
      </c>
      <c r="L1242" t="s">
        <v>683</v>
      </c>
      <c r="M1242" t="s">
        <v>684</v>
      </c>
      <c r="N1242" t="s">
        <v>163</v>
      </c>
      <c r="O1242" t="s">
        <v>685</v>
      </c>
      <c r="P1242" t="s">
        <v>685</v>
      </c>
      <c r="Q1242" t="s">
        <v>51</v>
      </c>
      <c r="R1242" t="s">
        <v>51</v>
      </c>
      <c r="S1242" t="s">
        <v>51</v>
      </c>
      <c r="T1242" t="s">
        <v>51</v>
      </c>
    </row>
    <row r="1243" spans="1:20">
      <c r="A1243" t="s">
        <v>637</v>
      </c>
      <c r="B1243" t="s">
        <v>127</v>
      </c>
      <c r="C1243" t="s">
        <v>49</v>
      </c>
      <c r="D1243" t="s">
        <v>51</v>
      </c>
      <c r="E1243" t="s">
        <v>51</v>
      </c>
      <c r="F1243" t="s">
        <v>51</v>
      </c>
      <c r="G1243" t="s">
        <v>52</v>
      </c>
      <c r="H1243" t="s">
        <v>52</v>
      </c>
      <c r="I1243" t="s">
        <v>52</v>
      </c>
      <c r="J1243" t="s">
        <v>590</v>
      </c>
      <c r="K1243" t="s">
        <v>52</v>
      </c>
      <c r="L1243" t="s">
        <v>683</v>
      </c>
      <c r="M1243" t="s">
        <v>684</v>
      </c>
      <c r="N1243" t="s">
        <v>163</v>
      </c>
      <c r="O1243" t="s">
        <v>685</v>
      </c>
      <c r="P1243" t="s">
        <v>685</v>
      </c>
      <c r="Q1243" t="s">
        <v>51</v>
      </c>
      <c r="R1243" t="s">
        <v>51</v>
      </c>
      <c r="S1243" t="s">
        <v>51</v>
      </c>
      <c r="T1243" t="s">
        <v>51</v>
      </c>
    </row>
    <row r="1244" spans="1:20">
      <c r="A1244" t="s">
        <v>638</v>
      </c>
      <c r="B1244" t="s">
        <v>129</v>
      </c>
      <c r="C1244" t="s">
        <v>49</v>
      </c>
      <c r="D1244" t="s">
        <v>51</v>
      </c>
      <c r="E1244" t="s">
        <v>51</v>
      </c>
      <c r="F1244" t="s">
        <v>51</v>
      </c>
      <c r="G1244" t="s">
        <v>52</v>
      </c>
      <c r="H1244" t="s">
        <v>52</v>
      </c>
      <c r="I1244" t="s">
        <v>52</v>
      </c>
      <c r="J1244" t="s">
        <v>590</v>
      </c>
      <c r="K1244" t="s">
        <v>52</v>
      </c>
      <c r="L1244" t="s">
        <v>683</v>
      </c>
      <c r="M1244" t="s">
        <v>684</v>
      </c>
      <c r="N1244" t="s">
        <v>163</v>
      </c>
      <c r="O1244" t="s">
        <v>685</v>
      </c>
      <c r="P1244" t="s">
        <v>685</v>
      </c>
      <c r="Q1244" t="s">
        <v>51</v>
      </c>
      <c r="R1244" t="s">
        <v>51</v>
      </c>
      <c r="S1244" t="s">
        <v>51</v>
      </c>
      <c r="T1244" t="s">
        <v>51</v>
      </c>
    </row>
    <row r="1245" spans="1:20">
      <c r="A1245" t="s">
        <v>639</v>
      </c>
      <c r="B1245" t="s">
        <v>131</v>
      </c>
      <c r="C1245" t="s">
        <v>49</v>
      </c>
      <c r="D1245" t="s">
        <v>51</v>
      </c>
      <c r="E1245" t="s">
        <v>51</v>
      </c>
      <c r="F1245" t="s">
        <v>51</v>
      </c>
      <c r="G1245" t="s">
        <v>52</v>
      </c>
      <c r="H1245" t="s">
        <v>52</v>
      </c>
      <c r="I1245" t="s">
        <v>52</v>
      </c>
      <c r="J1245" t="s">
        <v>590</v>
      </c>
      <c r="K1245" t="s">
        <v>52</v>
      </c>
      <c r="L1245" t="s">
        <v>683</v>
      </c>
      <c r="M1245" t="s">
        <v>684</v>
      </c>
      <c r="N1245" t="s">
        <v>163</v>
      </c>
      <c r="O1245" t="s">
        <v>685</v>
      </c>
      <c r="P1245" t="s">
        <v>685</v>
      </c>
      <c r="Q1245" t="s">
        <v>51</v>
      </c>
      <c r="R1245" t="s">
        <v>51</v>
      </c>
      <c r="S1245" t="s">
        <v>51</v>
      </c>
      <c r="T1245" t="s">
        <v>51</v>
      </c>
    </row>
    <row r="1246" spans="1:20">
      <c r="A1246" t="s">
        <v>640</v>
      </c>
      <c r="B1246" t="s">
        <v>133</v>
      </c>
      <c r="C1246" t="s">
        <v>49</v>
      </c>
      <c r="D1246" t="s">
        <v>51</v>
      </c>
      <c r="E1246" t="s">
        <v>51</v>
      </c>
      <c r="F1246" t="s">
        <v>51</v>
      </c>
      <c r="G1246" t="s">
        <v>52</v>
      </c>
      <c r="H1246" t="s">
        <v>52</v>
      </c>
      <c r="I1246" t="s">
        <v>52</v>
      </c>
      <c r="J1246" t="s">
        <v>590</v>
      </c>
      <c r="K1246" t="s">
        <v>52</v>
      </c>
      <c r="L1246" t="s">
        <v>683</v>
      </c>
      <c r="M1246" t="s">
        <v>684</v>
      </c>
      <c r="N1246" t="s">
        <v>163</v>
      </c>
      <c r="O1246" t="s">
        <v>685</v>
      </c>
      <c r="P1246" t="s">
        <v>685</v>
      </c>
      <c r="Q1246" t="s">
        <v>51</v>
      </c>
      <c r="R1246" t="s">
        <v>51</v>
      </c>
      <c r="S1246" t="s">
        <v>51</v>
      </c>
      <c r="T1246" t="s">
        <v>51</v>
      </c>
    </row>
    <row r="1247" spans="1:20">
      <c r="A1247" t="s">
        <v>641</v>
      </c>
      <c r="B1247" t="s">
        <v>135</v>
      </c>
      <c r="C1247" t="s">
        <v>49</v>
      </c>
      <c r="D1247" t="s">
        <v>51</v>
      </c>
      <c r="E1247" t="s">
        <v>51</v>
      </c>
      <c r="F1247" t="s">
        <v>51</v>
      </c>
      <c r="G1247" t="s">
        <v>52</v>
      </c>
      <c r="H1247" t="s">
        <v>52</v>
      </c>
      <c r="I1247" t="s">
        <v>52</v>
      </c>
      <c r="J1247" t="s">
        <v>590</v>
      </c>
      <c r="K1247" t="s">
        <v>52</v>
      </c>
      <c r="L1247" t="s">
        <v>683</v>
      </c>
      <c r="M1247" t="s">
        <v>684</v>
      </c>
      <c r="N1247" t="s">
        <v>163</v>
      </c>
      <c r="O1247" t="s">
        <v>685</v>
      </c>
      <c r="P1247" t="s">
        <v>685</v>
      </c>
      <c r="Q1247" t="s">
        <v>51</v>
      </c>
      <c r="R1247" t="s">
        <v>51</v>
      </c>
      <c r="S1247" t="s">
        <v>51</v>
      </c>
      <c r="T1247" t="s">
        <v>51</v>
      </c>
    </row>
    <row r="1248" spans="1:20">
      <c r="A1248" t="s">
        <v>642</v>
      </c>
      <c r="B1248" t="s">
        <v>137</v>
      </c>
      <c r="C1248" t="s">
        <v>49</v>
      </c>
      <c r="D1248" t="s">
        <v>51</v>
      </c>
      <c r="E1248" t="s">
        <v>51</v>
      </c>
      <c r="F1248" t="s">
        <v>51</v>
      </c>
      <c r="G1248" t="s">
        <v>52</v>
      </c>
      <c r="H1248" t="s">
        <v>52</v>
      </c>
      <c r="I1248" t="s">
        <v>52</v>
      </c>
      <c r="J1248" t="s">
        <v>590</v>
      </c>
      <c r="K1248" t="s">
        <v>52</v>
      </c>
      <c r="L1248" t="s">
        <v>683</v>
      </c>
      <c r="M1248" t="s">
        <v>684</v>
      </c>
      <c r="N1248" t="s">
        <v>163</v>
      </c>
      <c r="O1248" t="s">
        <v>685</v>
      </c>
      <c r="P1248" t="s">
        <v>685</v>
      </c>
      <c r="Q1248" t="s">
        <v>51</v>
      </c>
      <c r="R1248" t="s">
        <v>51</v>
      </c>
      <c r="S1248" t="s">
        <v>51</v>
      </c>
      <c r="T1248" t="s">
        <v>51</v>
      </c>
    </row>
    <row r="1249" spans="1:20">
      <c r="A1249" t="s">
        <v>643</v>
      </c>
      <c r="B1249" t="s">
        <v>139</v>
      </c>
      <c r="C1249" t="s">
        <v>49</v>
      </c>
      <c r="D1249" t="s">
        <v>51</v>
      </c>
      <c r="E1249" t="s">
        <v>51</v>
      </c>
      <c r="F1249" t="s">
        <v>51</v>
      </c>
      <c r="G1249" t="s">
        <v>52</v>
      </c>
      <c r="H1249" t="s">
        <v>52</v>
      </c>
      <c r="I1249" t="s">
        <v>52</v>
      </c>
      <c r="J1249" t="s">
        <v>590</v>
      </c>
      <c r="K1249" t="s">
        <v>52</v>
      </c>
      <c r="L1249" t="s">
        <v>683</v>
      </c>
      <c r="M1249" t="s">
        <v>684</v>
      </c>
      <c r="N1249" t="s">
        <v>163</v>
      </c>
      <c r="O1249" t="s">
        <v>685</v>
      </c>
      <c r="P1249" t="s">
        <v>685</v>
      </c>
      <c r="Q1249" t="s">
        <v>51</v>
      </c>
      <c r="R1249" t="s">
        <v>51</v>
      </c>
      <c r="S1249" t="s">
        <v>51</v>
      </c>
      <c r="T1249" t="s">
        <v>51</v>
      </c>
    </row>
    <row r="1250" spans="1:20">
      <c r="A1250" t="s">
        <v>644</v>
      </c>
      <c r="B1250" t="s">
        <v>141</v>
      </c>
      <c r="C1250" t="s">
        <v>49</v>
      </c>
      <c r="D1250" t="s">
        <v>51</v>
      </c>
      <c r="E1250" t="s">
        <v>51</v>
      </c>
      <c r="F1250" t="s">
        <v>51</v>
      </c>
      <c r="G1250" t="s">
        <v>52</v>
      </c>
      <c r="H1250" t="s">
        <v>52</v>
      </c>
      <c r="I1250" t="s">
        <v>52</v>
      </c>
      <c r="J1250" t="s">
        <v>590</v>
      </c>
      <c r="K1250" t="s">
        <v>52</v>
      </c>
      <c r="L1250" t="s">
        <v>683</v>
      </c>
      <c r="M1250" t="s">
        <v>684</v>
      </c>
      <c r="N1250" t="s">
        <v>163</v>
      </c>
      <c r="O1250" t="s">
        <v>685</v>
      </c>
      <c r="P1250" t="s">
        <v>685</v>
      </c>
      <c r="Q1250" t="s">
        <v>51</v>
      </c>
      <c r="R1250" t="s">
        <v>51</v>
      </c>
      <c r="S1250" t="s">
        <v>51</v>
      </c>
      <c r="T1250" t="s">
        <v>51</v>
      </c>
    </row>
    <row r="1251" spans="1:20">
      <c r="A1251" t="s">
        <v>645</v>
      </c>
      <c r="B1251" t="s">
        <v>143</v>
      </c>
      <c r="C1251" t="s">
        <v>49</v>
      </c>
      <c r="D1251" t="s">
        <v>51</v>
      </c>
      <c r="E1251" t="s">
        <v>51</v>
      </c>
      <c r="F1251" t="s">
        <v>51</v>
      </c>
      <c r="G1251" t="s">
        <v>52</v>
      </c>
      <c r="H1251" t="s">
        <v>52</v>
      </c>
      <c r="I1251" t="s">
        <v>52</v>
      </c>
      <c r="J1251" t="s">
        <v>590</v>
      </c>
      <c r="K1251" t="s">
        <v>52</v>
      </c>
      <c r="L1251" t="s">
        <v>683</v>
      </c>
      <c r="M1251" t="s">
        <v>684</v>
      </c>
      <c r="N1251" t="s">
        <v>163</v>
      </c>
      <c r="O1251" t="s">
        <v>685</v>
      </c>
      <c r="P1251" t="s">
        <v>685</v>
      </c>
      <c r="Q1251" t="s">
        <v>51</v>
      </c>
      <c r="R1251" t="s">
        <v>51</v>
      </c>
      <c r="S1251" t="s">
        <v>51</v>
      </c>
      <c r="T1251" t="s">
        <v>51</v>
      </c>
    </row>
    <row r="1252" spans="1:20">
      <c r="A1252" t="s">
        <v>646</v>
      </c>
      <c r="B1252" t="s">
        <v>145</v>
      </c>
      <c r="C1252" t="s">
        <v>49</v>
      </c>
      <c r="D1252" t="s">
        <v>51</v>
      </c>
      <c r="E1252" t="s">
        <v>51</v>
      </c>
      <c r="F1252" t="s">
        <v>51</v>
      </c>
      <c r="G1252" t="s">
        <v>52</v>
      </c>
      <c r="H1252" t="s">
        <v>52</v>
      </c>
      <c r="I1252" t="s">
        <v>52</v>
      </c>
      <c r="J1252" t="s">
        <v>590</v>
      </c>
      <c r="K1252" t="s">
        <v>52</v>
      </c>
      <c r="L1252" t="s">
        <v>683</v>
      </c>
      <c r="M1252" t="s">
        <v>684</v>
      </c>
      <c r="N1252" t="s">
        <v>163</v>
      </c>
      <c r="O1252" t="s">
        <v>685</v>
      </c>
      <c r="P1252" t="s">
        <v>685</v>
      </c>
      <c r="Q1252" t="s">
        <v>51</v>
      </c>
      <c r="R1252" t="s">
        <v>51</v>
      </c>
      <c r="S1252" t="s">
        <v>51</v>
      </c>
      <c r="T1252" t="s">
        <v>51</v>
      </c>
    </row>
    <row r="1253" spans="1:20">
      <c r="A1253" t="s">
        <v>647</v>
      </c>
      <c r="B1253" t="s">
        <v>147</v>
      </c>
      <c r="C1253" t="s">
        <v>49</v>
      </c>
      <c r="D1253" t="s">
        <v>51</v>
      </c>
      <c r="E1253" t="s">
        <v>51</v>
      </c>
      <c r="F1253" t="s">
        <v>51</v>
      </c>
      <c r="G1253" t="s">
        <v>52</v>
      </c>
      <c r="H1253" t="s">
        <v>52</v>
      </c>
      <c r="I1253" t="s">
        <v>52</v>
      </c>
      <c r="J1253" t="s">
        <v>590</v>
      </c>
      <c r="K1253" t="s">
        <v>52</v>
      </c>
      <c r="L1253" t="s">
        <v>683</v>
      </c>
      <c r="M1253" t="s">
        <v>684</v>
      </c>
      <c r="N1253" t="s">
        <v>163</v>
      </c>
      <c r="O1253" t="s">
        <v>685</v>
      </c>
      <c r="P1253" t="s">
        <v>685</v>
      </c>
      <c r="Q1253" t="s">
        <v>51</v>
      </c>
      <c r="R1253" t="s">
        <v>51</v>
      </c>
      <c r="S1253" t="s">
        <v>51</v>
      </c>
      <c r="T1253" t="s">
        <v>51</v>
      </c>
    </row>
    <row r="1254" spans="1:20">
      <c r="A1254" t="s">
        <v>648</v>
      </c>
      <c r="B1254" t="s">
        <v>149</v>
      </c>
      <c r="C1254" t="s">
        <v>49</v>
      </c>
      <c r="D1254" t="s">
        <v>51</v>
      </c>
      <c r="E1254" t="s">
        <v>51</v>
      </c>
      <c r="F1254" t="s">
        <v>51</v>
      </c>
      <c r="G1254" t="s">
        <v>52</v>
      </c>
      <c r="H1254" t="s">
        <v>52</v>
      </c>
      <c r="I1254" t="s">
        <v>52</v>
      </c>
      <c r="J1254" t="s">
        <v>590</v>
      </c>
      <c r="K1254" t="s">
        <v>52</v>
      </c>
      <c r="L1254" t="s">
        <v>683</v>
      </c>
      <c r="M1254" t="s">
        <v>684</v>
      </c>
      <c r="N1254" t="s">
        <v>163</v>
      </c>
      <c r="O1254" t="s">
        <v>685</v>
      </c>
      <c r="P1254" t="s">
        <v>685</v>
      </c>
      <c r="Q1254" t="s">
        <v>51</v>
      </c>
      <c r="R1254" t="s">
        <v>51</v>
      </c>
      <c r="S1254" t="s">
        <v>51</v>
      </c>
      <c r="T1254" t="s">
        <v>51</v>
      </c>
    </row>
    <row r="1255" spans="1:20">
      <c r="A1255" t="s">
        <v>649</v>
      </c>
      <c r="B1255" t="s">
        <v>151</v>
      </c>
      <c r="C1255" t="s">
        <v>49</v>
      </c>
      <c r="D1255" t="s">
        <v>51</v>
      </c>
      <c r="E1255" t="s">
        <v>51</v>
      </c>
      <c r="F1255" t="s">
        <v>51</v>
      </c>
      <c r="G1255" t="s">
        <v>52</v>
      </c>
      <c r="H1255" t="s">
        <v>52</v>
      </c>
      <c r="I1255" t="s">
        <v>52</v>
      </c>
      <c r="J1255" t="s">
        <v>590</v>
      </c>
      <c r="K1255" t="s">
        <v>52</v>
      </c>
      <c r="L1255" t="s">
        <v>683</v>
      </c>
      <c r="M1255" t="s">
        <v>684</v>
      </c>
      <c r="N1255" t="s">
        <v>163</v>
      </c>
      <c r="O1255" t="s">
        <v>685</v>
      </c>
      <c r="P1255" t="s">
        <v>685</v>
      </c>
      <c r="Q1255" t="s">
        <v>51</v>
      </c>
      <c r="R1255" t="s">
        <v>51</v>
      </c>
      <c r="S1255" t="s">
        <v>51</v>
      </c>
      <c r="T1255" t="s">
        <v>51</v>
      </c>
    </row>
    <row r="1256" spans="1:20">
      <c r="A1256" t="s">
        <v>650</v>
      </c>
      <c r="B1256" t="s">
        <v>153</v>
      </c>
      <c r="C1256" t="s">
        <v>49</v>
      </c>
      <c r="D1256" t="s">
        <v>51</v>
      </c>
      <c r="E1256" t="s">
        <v>51</v>
      </c>
      <c r="F1256" t="s">
        <v>51</v>
      </c>
      <c r="G1256" t="s">
        <v>52</v>
      </c>
      <c r="H1256" t="s">
        <v>52</v>
      </c>
      <c r="I1256" t="s">
        <v>52</v>
      </c>
      <c r="J1256" t="s">
        <v>590</v>
      </c>
      <c r="K1256" t="s">
        <v>52</v>
      </c>
      <c r="L1256" t="s">
        <v>683</v>
      </c>
      <c r="M1256" t="s">
        <v>684</v>
      </c>
      <c r="N1256" t="s">
        <v>163</v>
      </c>
      <c r="O1256" t="s">
        <v>685</v>
      </c>
      <c r="P1256" t="s">
        <v>685</v>
      </c>
      <c r="Q1256" t="s">
        <v>51</v>
      </c>
      <c r="R1256" t="s">
        <v>51</v>
      </c>
      <c r="S1256" t="s">
        <v>51</v>
      </c>
      <c r="T1256" t="s">
        <v>51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nma Document" ma:contentTypeID="0x0101003951D1F36BC944E987AD610ADE6A10C3002366F3BBC8CE234B84695397A2A93407" ma:contentTypeVersion="10" ma:contentTypeDescription="Ein neues Dokument erstellen." ma:contentTypeScope="" ma:versionID="0568cc6719dc77685f726e99c7c2fb4c">
  <xsd:schema xmlns:xsd="http://www.w3.org/2001/XMLSchema" xmlns:xs="http://www.w3.org/2001/XMLSchema" xmlns:p="http://schemas.microsoft.com/office/2006/metadata/properties" xmlns:ns2="82c37705-afd5-4d11-a1ea-0266d9d1a166" xmlns:ns3="http://schemas.microsoft.com/sharepoint/v3/fields" xmlns:ns4="08F44E9F-55A5-4D8C-81FA-E5E52F0C7A16" xmlns:ns5="08f44e9f-55a5-4d8c-81fa-e5e52f0c7a16" targetNamespace="http://schemas.microsoft.com/office/2006/metadata/properties" ma:root="true" ma:fieldsID="17b5d0fba45ccd7280729390c91a62fb" ns2:_="" ns3:_="" ns4:_="" ns5:_="">
    <xsd:import namespace="82c37705-afd5-4d11-a1ea-0266d9d1a166"/>
    <xsd:import namespace="http://schemas.microsoft.com/sharepoint/v3/fields"/>
    <xsd:import namespace="08F44E9F-55A5-4D8C-81FA-E5E52F0C7A16"/>
    <xsd:import namespace="08f44e9f-55a5-4d8c-81fa-e5e52f0c7a1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Topic_Note" minOccurs="0"/>
                <xsd:element ref="ns3:OU_Note" minOccurs="0"/>
                <xsd:element ref="ns3:OSP_Note" minOccurs="0"/>
                <xsd:element ref="ns4:RetentionPeriod" minOccurs="0"/>
                <xsd:element ref="ns5:SeqenceNumber" minOccurs="0"/>
                <xsd:element ref="ns5:AgendaItemGUID" minOccurs="0"/>
                <xsd:element ref="ns5:ToBeArchived" minOccurs="0"/>
                <xsd:element ref="ns4:Document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c37705-afd5-4d11-a1ea-0266d9d1a16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Topic_Note" ma:index="14" nillable="true" ma:taxonomy="true" ma:internalName="Topic_Note" ma:taxonomyFieldName="Topic" ma:displayName="Thema" ma:readOnly="false" ma:default="" ma:fieldId="{a64374eb-6e28-4d6b-ae22-c24ecbfd0ec3}" ma:sspId="27609f53-2d13-42be-a2b4-fd8d7f3f64db" ma:termSetId="7b4b023d-5e9a-475b-a148-dfe01b6a8d09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OU_Note" ma:index="16" nillable="true" ma:taxonomy="true" ma:internalName="OU_Note" ma:taxonomyFieldName="OU" ma:displayName="Organisationseinheit" ma:readOnly="false" ma:default="2;#GB-V|f8d7b412-2487-4e9a-b58d-c7490dedd0c5" ma:fieldId="{fcb30f0d-baee-4a7e-876f-d65b0367c7a8}" ma:sspId="27609f53-2d13-42be-a2b4-fd8d7f3f64db" ma:termSetId="2e7da289-48a2-42d8-b875-47a1903a1d9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P_Note" ma:index="18" nillable="true" ma:taxonomy="true" ma:internalName="OSP_Note" ma:taxonomyFieldName="OSP" ma:displayName="Ordnungssystemposition" ma:readOnly="false" ma:fieldId="{47fc1aad-a32f-4b87-b398-8d261b0da966}" ma:sspId="27609f53-2d13-42be-a2b4-fd8d7f3f64db" ma:termSetId="6eefd7ee-d6f6-47de-bb49-f1d34202032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F44E9F-55A5-4D8C-81FA-E5E52F0C7A16" elementFormDefault="qualified">
    <xsd:import namespace="http://schemas.microsoft.com/office/2006/documentManagement/types"/>
    <xsd:import namespace="http://schemas.microsoft.com/office/infopath/2007/PartnerControls"/>
    <xsd:element name="RetentionPeriod" ma:index="19" nillable="true" ma:displayName="Aufbewahrungsfrist" ma:description="Aufbewahrungsfrist des Dossiers" ma:hidden="true" ma:internalName="RetentionPeriod" ma:readOnly="false">
      <xsd:simpleType>
        <xsd:restriction base="dms:Text"/>
      </xsd:simpleType>
    </xsd:element>
    <xsd:element name="DocumentDate" ma:index="23" ma:displayName="Datum" ma:default="[today]" ma:description="Dokumentendatum" ma:format="DateOnly" ma:internalName="Document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f44e9f-55a5-4d8c-81fa-e5e52f0c7a16" elementFormDefault="qualified">
    <xsd:import namespace="http://schemas.microsoft.com/office/2006/documentManagement/types"/>
    <xsd:import namespace="http://schemas.microsoft.com/office/infopath/2007/PartnerControls"/>
    <xsd:element name="SeqenceNumber" ma:index="20" nillable="true" ma:displayName="Reihenfolge Nummer" ma:internalName="SeqenceNumber" ma:readOnly="false">
      <xsd:simpleType>
        <xsd:restriction base="dms:Unknown"/>
      </xsd:simpleType>
    </xsd:element>
    <xsd:element name="AgendaItemGUID" ma:index="21" nillable="true" ma:displayName="Traktandum GUID" ma:internalName="AgendaItemGUID" ma:readOnly="false">
      <xsd:simpleType>
        <xsd:restriction base="dms:Text"/>
      </xsd:simpleType>
    </xsd:element>
    <xsd:element name="ToBeArchived" ma:index="22" nillable="true" ma:displayName="Archivwürdig" ma:description="Soll das Dossier archiviert werden" ma:hidden="true" ma:internalName="ToBeArchived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_Note xmlns="http://schemas.microsoft.com/sharepoint/v3/fields">
      <Terms xmlns="http://schemas.microsoft.com/office/infopath/2007/PartnerControls">
        <TermInfo xmlns="http://schemas.microsoft.com/office/infopath/2007/PartnerControls">
          <TermName xmlns="http://schemas.microsoft.com/office/infopath/2007/PartnerControls">Aufsichtsabgabe</TermName>
          <TermId xmlns="http://schemas.microsoft.com/office/infopath/2007/PartnerControls">1bb1ff23-244b-430d-b77e-6c87f49b07f4</TermId>
        </TermInfo>
      </Terms>
    </Topic_Note>
    <OU_Note xmlns="http://schemas.microsoft.com/sharepoint/v3/fields">
      <Terms xmlns="http://schemas.microsoft.com/office/infopath/2007/PartnerControls">
        <TermInfo xmlns="http://schemas.microsoft.com/office/infopath/2007/PartnerControls">
          <TermName xmlns="http://schemas.microsoft.com/office/infopath/2007/PartnerControls">GB-V</TermName>
          <TermId xmlns="http://schemas.microsoft.com/office/infopath/2007/PartnerControls">f8d7b412-2487-4e9a-b58d-c7490dedd0c5</TermId>
        </TermInfo>
      </Terms>
    </OU_Note>
    <OSP_Note xmlns="http://schemas.microsoft.com/sharepoint/v3/fields">
      <Terms xmlns="http://schemas.microsoft.com/office/infopath/2007/PartnerControls">
        <TermInfo xmlns="http://schemas.microsoft.com/office/infopath/2007/PartnerControls">
          <TermName xmlns="http://schemas.microsoft.com/office/infopath/2007/PartnerControls">4-02.9 Verschiedenes</TermName>
          <TermId xmlns="http://schemas.microsoft.com/office/infopath/2007/PartnerControls">b7add63a-7a8a-4b8a-bfff-6c9ce2cbce07</TermId>
        </TermInfo>
      </Terms>
    </OSP_Note>
    <AgendaItemGUID xmlns="08f44e9f-55a5-4d8c-81fa-e5e52f0c7a16" xsi:nil="true"/>
    <RetentionPeriod xmlns="08F44E9F-55A5-4D8C-81FA-E5E52F0C7A16">15</RetentionPeriod>
    <DocumentDate xmlns="08F44E9F-55A5-4D8C-81FA-E5E52F0C7A16">2024-05-05T22:00:00+00:00</DocumentDate>
    <SeqenceNumber xmlns="08f44e9f-55a5-4d8c-81fa-e5e52f0c7a16" xsi:nil="true"/>
    <ToBeArchived xmlns="08f44e9f-55a5-4d8c-81fa-e5e52f0c7a16">Nein</ToBeArchived>
    <_dlc_DocId xmlns="82c37705-afd5-4d11-a1ea-0266d9d1a166">6009-P-2-6897</_dlc_DocId>
    <_dlc_DocIdUrl xmlns="82c37705-afd5-4d11-a1ea-0266d9d1a166">
      <Url>https://dok.finma.ch/sites/6009-P/_layouts/15/DocIdRedir.aspx?ID=6009-P-2-6897</Url>
      <Description>6009-P-2-6897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C82804-E410-4B25-A2C6-263513107532}"/>
</file>

<file path=customXml/itemProps2.xml><?xml version="1.0" encoding="utf-8"?>
<ds:datastoreItem xmlns:ds="http://schemas.openxmlformats.org/officeDocument/2006/customXml" ds:itemID="{D7099804-B725-4B25-92CB-5F592ADDD47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10662A3-8778-479F-8B9D-E1683E2642CB}">
  <ds:schemaRefs>
    <ds:schemaRef ds:uri="http://purl.org/dc/elements/1.1/"/>
    <ds:schemaRef ds:uri="http://schemas.microsoft.com/office/2006/metadata/properties"/>
    <ds:schemaRef ds:uri="1ab9bbcc-83c6-4736-b39b-aba04a32d413"/>
    <ds:schemaRef ds:uri="1AB9BBCC-83C6-4736-B39B-ABA04A32D413"/>
    <ds:schemaRef ds:uri="http://purl.org/dc/terms/"/>
    <ds:schemaRef ds:uri="a13ce8e2-0bfa-4ae3-b62f-afeb61f483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sharepoint/v3/field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96F4A04-98AE-4982-A73C-943942374F03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576339c0-82ad-448c-ad0e-099d7c3d4715}" enabled="1" method="Privileged" siteId="{af7227b1-ac3a-4487-9e9f-ba462bb409d4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15</vt:i4>
      </vt:variant>
    </vt:vector>
  </HeadingPairs>
  <TitlesOfParts>
    <vt:vector size="23" baseType="lpstr">
      <vt:lpstr>Intro_SM_UVG_Valuation</vt:lpstr>
      <vt:lpstr>Update</vt:lpstr>
      <vt:lpstr>Inputparam</vt:lpstr>
      <vt:lpstr>UVG_Input_Data</vt:lpstr>
      <vt:lpstr>UVG_Calculations</vt:lpstr>
      <vt:lpstr>UVG_Output</vt:lpstr>
      <vt:lpstr>Glossary</vt:lpstr>
      <vt:lpstr>Configuration</vt:lpstr>
      <vt:lpstr>_down</vt:lpstr>
      <vt:lpstr>_end</vt:lpstr>
      <vt:lpstr>_LongTerm</vt:lpstr>
      <vt:lpstr>_maturity</vt:lpstr>
      <vt:lpstr>_middleTerm</vt:lpstr>
      <vt:lpstr>_million</vt:lpstr>
      <vt:lpstr>_million1</vt:lpstr>
      <vt:lpstr>_neurente</vt:lpstr>
      <vt:lpstr>_shortTerm</vt:lpstr>
      <vt:lpstr>_start</vt:lpstr>
      <vt:lpstr>_up</vt:lpstr>
      <vt:lpstr>current_year</vt:lpstr>
      <vt:lpstr>Language</vt:lpstr>
      <vt:lpstr>name_of_insurer</vt:lpstr>
      <vt:lpstr>Translation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2024-04-15T10:59:44Z</dcterms:created>
  <dcterms:modified xsi:type="dcterms:W3CDTF">2025-01-28T17:28:34Z</dcterms:modified>
  <cp:category/>
  <dc:identifier/>
  <cp:contentStatus/>
  <dc:language/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U">
    <vt:lpwstr>2;#GB-V|f8d7b412-2487-4e9a-b58d-c7490dedd0c5</vt:lpwstr>
  </property>
  <property fmtid="{D5CDD505-2E9C-101B-9397-08002B2CF9AE}" pid="3" name="ContentTypeId">
    <vt:lpwstr>0x0101003951D1F36BC944E987AD610ADE6A10C3002366F3BBC8CE234B84695397A2A93407</vt:lpwstr>
  </property>
  <property fmtid="{D5CDD505-2E9C-101B-9397-08002B2CF9AE}" pid="4" name="_dlc_DocIdItemGuid">
    <vt:lpwstr>3ed5f892-f86d-402b-843d-3276740a835e</vt:lpwstr>
  </property>
  <property fmtid="{D5CDD505-2E9C-101B-9397-08002B2CF9AE}" pid="5" name="MediaServiceImageTags">
    <vt:lpwstr/>
  </property>
  <property fmtid="{D5CDD505-2E9C-101B-9397-08002B2CF9AE}" pid="6" name="Topic">
    <vt:lpwstr>12;#Aufsichtsabgabe|1bb1ff23-244b-430d-b77e-6c87f49b07f4</vt:lpwstr>
  </property>
  <property fmtid="{D5CDD505-2E9C-101B-9397-08002B2CF9AE}" pid="7" name="DossierStatus_Note">
    <vt:lpwstr/>
  </property>
  <property fmtid="{D5CDD505-2E9C-101B-9397-08002B2CF9AE}" pid="8" name="OSP">
    <vt:lpwstr>13;#4-02.9 Verschiedenes|b7add63a-7a8a-4b8a-bfff-6c9ce2cbce07</vt:lpwstr>
  </property>
</Properties>
</file>