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ok.finma.ch/sites/6005-T/Dossiers/Quantitatives Risikomanagement/SST/JaehrlicherSST/2024/Dokumente/Beteiligungen/"/>
    </mc:Choice>
  </mc:AlternateContent>
  <xr:revisionPtr revIDLastSave="0" documentId="8_{AC7828E0-DF62-4F6F-BAFF-C245B17984D9}" xr6:coauthVersionLast="47" xr6:coauthVersionMax="47" xr10:uidLastSave="{00000000-0000-0000-0000-000000000000}"/>
  <bookViews>
    <workbookView xWindow="-120" yWindow="-120" windowWidth="29040" windowHeight="17640" tabRatio="772" xr2:uid="{00000000-000D-0000-FFFF-FFFF00000000}"/>
  </bookViews>
  <sheets>
    <sheet name="Intro" sheetId="1" r:id="rId1"/>
    <sheet name="Update" sheetId="2" r:id="rId2"/>
    <sheet name="Participation Inputs" sheetId="6" r:id="rId3"/>
    <sheet name="SST Balance Sheet BVG" sheetId="49" r:id="rId4"/>
    <sheet name="Instruction_Stat_SSTBalance" sheetId="51" r:id="rId5"/>
    <sheet name="Differences_Stat_SSTBalance BVG" sheetId="52" r:id="rId6"/>
    <sheet name="list_of_sheets" sheetId="4" r:id="rId7"/>
    <sheet name="Glossary" sheetId="5" r:id="rId8"/>
  </sheets>
  <definedNames>
    <definedName name="Branch">Intro!$E$11</definedName>
    <definedName name="ExchangeRate">#REF!</definedName>
    <definedName name="Language">Intro!$E$7</definedName>
    <definedName name="LanguageNo">Intro!$F$7</definedName>
    <definedName name="SST_Currency">'Participation Inputs'!$D$7</definedName>
    <definedName name="Translation">Glossary!$B:$F</definedName>
    <definedName name="Unit">Intro!$G$7</definedName>
    <definedName name="Year">Intro!$C$1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3" i="52" l="1"/>
  <c r="E25" i="6"/>
  <c r="E17" i="6"/>
  <c r="D22" i="6"/>
  <c r="D21" i="6"/>
  <c r="I8" i="6"/>
  <c r="E18" i="6" l="1"/>
  <c r="E21" i="6" l="1"/>
  <c r="E22" i="6" s="1"/>
  <c r="E24" i="6" l="1"/>
  <c r="M123" i="52" l="1"/>
  <c r="B8" i="4" l="1"/>
  <c r="B9" i="4"/>
  <c r="B10" i="4"/>
  <c r="B11" i="4"/>
  <c r="B12" i="4"/>
  <c r="B7" i="4"/>
  <c r="G53" i="49" l="1"/>
  <c r="M246" i="52" l="1"/>
  <c r="M247" i="52"/>
  <c r="M248" i="52"/>
  <c r="M249" i="52"/>
  <c r="M250" i="52"/>
  <c r="M242" i="52"/>
  <c r="M243" i="52"/>
  <c r="M238" i="52"/>
  <c r="M239" i="52"/>
  <c r="M235" i="52"/>
  <c r="M234" i="52"/>
  <c r="J121" i="52" l="1"/>
  <c r="F121" i="52"/>
  <c r="M149" i="52" l="1"/>
  <c r="M148" i="52"/>
  <c r="M147" i="52"/>
  <c r="H125" i="51" l="1"/>
  <c r="H73" i="51"/>
  <c r="H20" i="51"/>
  <c r="M175" i="52" l="1"/>
  <c r="M217" i="52" l="1"/>
  <c r="M218" i="52"/>
  <c r="M219" i="52"/>
  <c r="J216" i="52"/>
  <c r="F216" i="52"/>
  <c r="J245" i="52"/>
  <c r="F245" i="52"/>
  <c r="J241" i="52"/>
  <c r="F241" i="52"/>
  <c r="J237" i="52"/>
  <c r="F237" i="52"/>
  <c r="J233" i="52"/>
  <c r="F233" i="52"/>
  <c r="M231" i="52"/>
  <c r="M224" i="52"/>
  <c r="M225" i="52"/>
  <c r="M226" i="52"/>
  <c r="M227" i="52"/>
  <c r="M228" i="52"/>
  <c r="M229" i="52"/>
  <c r="J223" i="52"/>
  <c r="F223" i="52"/>
  <c r="M221" i="52"/>
  <c r="M211" i="52"/>
  <c r="M213" i="52"/>
  <c r="M214" i="52"/>
  <c r="M209" i="52"/>
  <c r="J208" i="52"/>
  <c r="F208" i="52"/>
  <c r="M206" i="52"/>
  <c r="M205" i="52"/>
  <c r="M198" i="52"/>
  <c r="M199" i="52"/>
  <c r="M200" i="52"/>
  <c r="M201" i="52"/>
  <c r="M202" i="52"/>
  <c r="M203" i="52"/>
  <c r="M195" i="52"/>
  <c r="J194" i="52"/>
  <c r="F194" i="52"/>
  <c r="M192" i="52"/>
  <c r="M191" i="52"/>
  <c r="M190" i="52"/>
  <c r="M189" i="52"/>
  <c r="M188" i="52"/>
  <c r="M186" i="52"/>
  <c r="J185" i="52"/>
  <c r="F185" i="52"/>
  <c r="M183" i="52"/>
  <c r="M182" i="52"/>
  <c r="M181" i="52"/>
  <c r="M180" i="52"/>
  <c r="M179" i="52"/>
  <c r="M178" i="52"/>
  <c r="J174" i="52"/>
  <c r="J173" i="52" s="1"/>
  <c r="F174" i="52"/>
  <c r="F173" i="52" s="1"/>
  <c r="M165" i="52"/>
  <c r="M164" i="52"/>
  <c r="M163" i="52"/>
  <c r="M162" i="52"/>
  <c r="J161" i="52"/>
  <c r="F161" i="52"/>
  <c r="M159" i="52"/>
  <c r="M157" i="52"/>
  <c r="M156" i="52"/>
  <c r="J155" i="52"/>
  <c r="F155" i="52"/>
  <c r="M153" i="52"/>
  <c r="M150" i="52"/>
  <c r="M145" i="52"/>
  <c r="J146" i="52"/>
  <c r="J144" i="52" s="1"/>
  <c r="F146" i="52"/>
  <c r="F144" i="52" s="1"/>
  <c r="M142" i="52"/>
  <c r="M140" i="52"/>
  <c r="M138" i="52"/>
  <c r="M137" i="52"/>
  <c r="J136" i="52"/>
  <c r="F136" i="52"/>
  <c r="M134" i="52"/>
  <c r="M133" i="52"/>
  <c r="M132" i="52"/>
  <c r="M131" i="52"/>
  <c r="M130" i="52"/>
  <c r="M129" i="52"/>
  <c r="M127" i="52"/>
  <c r="M125" i="52"/>
  <c r="M124" i="52"/>
  <c r="M122" i="52"/>
  <c r="M117" i="52"/>
  <c r="M118" i="52"/>
  <c r="M119" i="52"/>
  <c r="J116" i="52"/>
  <c r="F116" i="52"/>
  <c r="M114" i="52"/>
  <c r="M107" i="52"/>
  <c r="M108" i="52"/>
  <c r="M109" i="52"/>
  <c r="M110" i="52"/>
  <c r="M111" i="52"/>
  <c r="M112" i="52"/>
  <c r="J106" i="52"/>
  <c r="F106" i="52"/>
  <c r="M104" i="52"/>
  <c r="M97" i="52"/>
  <c r="M98" i="52"/>
  <c r="M99" i="52"/>
  <c r="M100" i="52"/>
  <c r="M101" i="52"/>
  <c r="M102" i="52"/>
  <c r="J96" i="52"/>
  <c r="J93" i="52" s="1"/>
  <c r="F96" i="52"/>
  <c r="F93" i="52" s="1"/>
  <c r="M94" i="52"/>
  <c r="M87" i="52"/>
  <c r="M54" i="52"/>
  <c r="M53" i="52"/>
  <c r="F167" i="52" l="1"/>
  <c r="F252" i="52"/>
  <c r="J167" i="52"/>
  <c r="J252" i="52"/>
  <c r="B247" i="52" l="1"/>
  <c r="I247" i="52" s="1"/>
  <c r="B248" i="52"/>
  <c r="I248" i="52" s="1"/>
  <c r="B249" i="52"/>
  <c r="I249" i="52" s="1"/>
  <c r="B250" i="52"/>
  <c r="I250" i="52" s="1"/>
  <c r="B221" i="52"/>
  <c r="I221" i="52" s="1"/>
  <c r="B132" i="52"/>
  <c r="I132" i="52" s="1"/>
  <c r="G104" i="49" l="1"/>
  <c r="G87" i="49"/>
  <c r="G213" i="49"/>
  <c r="F208" i="49"/>
  <c r="E208" i="49"/>
  <c r="M208" i="52" s="1"/>
  <c r="E174" i="49" l="1"/>
  <c r="M174" i="52" s="1"/>
  <c r="G183" i="49"/>
  <c r="E146" i="49"/>
  <c r="F146" i="49"/>
  <c r="F144" i="49" s="1"/>
  <c r="E144" i="49" l="1"/>
  <c r="M144" i="52" s="1"/>
  <c r="M146" i="52"/>
  <c r="F121" i="49"/>
  <c r="E121" i="49"/>
  <c r="M121" i="52" s="1"/>
  <c r="G149" i="49"/>
  <c r="F174" i="49"/>
  <c r="F185" i="49"/>
  <c r="E185" i="49"/>
  <c r="M185" i="52" s="1"/>
  <c r="F194" i="49"/>
  <c r="E194" i="49"/>
  <c r="M194" i="52" s="1"/>
  <c r="G242" i="49"/>
  <c r="E237" i="49"/>
  <c r="M237" i="52" s="1"/>
  <c r="F241" i="49"/>
  <c r="E241" i="49"/>
  <c r="M241" i="52" s="1"/>
  <c r="F173" i="49" l="1"/>
  <c r="E173" i="49"/>
  <c r="M173" i="52" s="1"/>
  <c r="M46" i="52" l="1"/>
  <c r="M48" i="52"/>
  <c r="M49" i="52"/>
  <c r="M45" i="52"/>
  <c r="M85" i="52" l="1"/>
  <c r="M84" i="52"/>
  <c r="M83" i="52"/>
  <c r="M82" i="52"/>
  <c r="M81" i="52"/>
  <c r="M77" i="52"/>
  <c r="M76" i="52"/>
  <c r="M73" i="52"/>
  <c r="M72" i="52"/>
  <c r="M71" i="52"/>
  <c r="M32" i="52"/>
  <c r="M67" i="52"/>
  <c r="M66" i="52"/>
  <c r="M63" i="52"/>
  <c r="M62" i="52"/>
  <c r="M61" i="52"/>
  <c r="M60" i="52"/>
  <c r="M59" i="52"/>
  <c r="M58" i="52"/>
  <c r="M52" i="52"/>
  <c r="M41" i="52"/>
  <c r="M40" i="52"/>
  <c r="M39" i="52"/>
  <c r="M36" i="52"/>
  <c r="M35" i="52"/>
  <c r="M34" i="52"/>
  <c r="M29" i="52"/>
  <c r="M26" i="52"/>
  <c r="M25" i="52"/>
  <c r="M22" i="52"/>
  <c r="M21" i="52"/>
  <c r="M9" i="52"/>
  <c r="M10" i="52"/>
  <c r="M11" i="52"/>
  <c r="M12" i="52"/>
  <c r="M13" i="52"/>
  <c r="M14" i="52"/>
  <c r="M15" i="52"/>
  <c r="M16" i="52"/>
  <c r="M17" i="52"/>
  <c r="B1" i="52" l="1"/>
  <c r="B1" i="51"/>
  <c r="B1" i="49"/>
  <c r="B1" i="6"/>
  <c r="B1" i="5"/>
  <c r="B1" i="4"/>
  <c r="B1" i="2"/>
  <c r="B1" i="1"/>
  <c r="H120" i="51" l="1"/>
  <c r="H68" i="51" l="1"/>
  <c r="E19" i="51"/>
  <c r="H19" i="51"/>
  <c r="H15" i="51"/>
  <c r="K87" i="51" l="1"/>
  <c r="K86" i="51"/>
  <c r="K85" i="51"/>
  <c r="K84" i="51"/>
  <c r="K83" i="51"/>
  <c r="J82" i="51"/>
  <c r="H82" i="51"/>
  <c r="E82" i="51"/>
  <c r="H72" i="51"/>
  <c r="E72" i="51"/>
  <c r="K82" i="51" l="1"/>
  <c r="K139" i="51" l="1"/>
  <c r="K138" i="51"/>
  <c r="K137" i="51"/>
  <c r="K136" i="51"/>
  <c r="K135" i="51"/>
  <c r="J134" i="51"/>
  <c r="H134" i="51"/>
  <c r="E134" i="51"/>
  <c r="H124" i="51"/>
  <c r="E124" i="51"/>
  <c r="K134" i="51" l="1"/>
  <c r="B89" i="52" l="1"/>
  <c r="B87" i="52"/>
  <c r="I87" i="52" s="1"/>
  <c r="B190" i="52" l="1"/>
  <c r="I190" i="52" s="1"/>
  <c r="B191" i="52"/>
  <c r="I191" i="52" s="1"/>
  <c r="G197" i="49"/>
  <c r="G196" i="49"/>
  <c r="C45" i="5" l="1"/>
  <c r="M5" i="52" l="1"/>
  <c r="E341" i="5"/>
  <c r="D341" i="5"/>
  <c r="C341" i="5"/>
  <c r="E78" i="5"/>
  <c r="D78" i="5"/>
  <c r="C78" i="5"/>
  <c r="K5" i="52" l="1"/>
  <c r="I5" i="52"/>
  <c r="F5" i="52"/>
  <c r="G6" i="49"/>
  <c r="E6" i="49"/>
  <c r="B252" i="52"/>
  <c r="B246" i="52"/>
  <c r="I246" i="52" s="1"/>
  <c r="B245" i="52"/>
  <c r="B243" i="52"/>
  <c r="I243" i="52" s="1"/>
  <c r="B242" i="52"/>
  <c r="I242" i="52" s="1"/>
  <c r="B241" i="52"/>
  <c r="B239" i="52"/>
  <c r="I239" i="52" s="1"/>
  <c r="B238" i="52"/>
  <c r="I238" i="52" s="1"/>
  <c r="B237" i="52"/>
  <c r="B235" i="52"/>
  <c r="I235" i="52" s="1"/>
  <c r="B234" i="52"/>
  <c r="I234" i="52" s="1"/>
  <c r="B233" i="52"/>
  <c r="B231" i="52"/>
  <c r="I231" i="52" s="1"/>
  <c r="B229" i="52"/>
  <c r="I229" i="52" s="1"/>
  <c r="B228" i="52"/>
  <c r="I228" i="52" s="1"/>
  <c r="B227" i="52"/>
  <c r="I227" i="52" s="1"/>
  <c r="B226" i="52"/>
  <c r="I226" i="52" s="1"/>
  <c r="B225" i="52"/>
  <c r="I225" i="52" s="1"/>
  <c r="B224" i="52"/>
  <c r="I224" i="52" s="1"/>
  <c r="B223" i="52"/>
  <c r="B219" i="52"/>
  <c r="I219" i="52" s="1"/>
  <c r="B218" i="52"/>
  <c r="I218" i="52" s="1"/>
  <c r="B217" i="52"/>
  <c r="I217" i="52" s="1"/>
  <c r="B216" i="52"/>
  <c r="B214" i="52"/>
  <c r="I214" i="52" s="1"/>
  <c r="B213" i="52"/>
  <c r="I213" i="52" s="1"/>
  <c r="B212" i="52"/>
  <c r="B211" i="52"/>
  <c r="I211" i="52" s="1"/>
  <c r="B210" i="52"/>
  <c r="B209" i="52"/>
  <c r="I209" i="52" s="1"/>
  <c r="B208" i="52"/>
  <c r="B206" i="52"/>
  <c r="I206" i="52" s="1"/>
  <c r="B205" i="52"/>
  <c r="I205" i="52" s="1"/>
  <c r="B203" i="52"/>
  <c r="I203" i="52" s="1"/>
  <c r="B202" i="52"/>
  <c r="I202" i="52" s="1"/>
  <c r="B201" i="52"/>
  <c r="I201" i="52" s="1"/>
  <c r="B200" i="52"/>
  <c r="I200" i="52" s="1"/>
  <c r="B199" i="52"/>
  <c r="I199" i="52" s="1"/>
  <c r="B198" i="52"/>
  <c r="I198" i="52" s="1"/>
  <c r="B197" i="52"/>
  <c r="B196" i="52"/>
  <c r="B195" i="52"/>
  <c r="I195" i="52" s="1"/>
  <c r="K195" i="52" s="1"/>
  <c r="L195" i="52" s="1"/>
  <c r="B194" i="52"/>
  <c r="B192" i="52"/>
  <c r="I192" i="52" s="1"/>
  <c r="B189" i="52"/>
  <c r="I189" i="52" s="1"/>
  <c r="B188" i="52"/>
  <c r="I188" i="52" s="1"/>
  <c r="B187" i="52"/>
  <c r="B186" i="52"/>
  <c r="I186" i="52" s="1"/>
  <c r="B185" i="52"/>
  <c r="B183" i="52"/>
  <c r="I183" i="52" s="1"/>
  <c r="B182" i="52"/>
  <c r="I182" i="52" s="1"/>
  <c r="B181" i="52"/>
  <c r="I181" i="52" s="1"/>
  <c r="B180" i="52"/>
  <c r="B179" i="52"/>
  <c r="I179" i="52" s="1"/>
  <c r="B178" i="52"/>
  <c r="I178" i="52" s="1"/>
  <c r="B177" i="52"/>
  <c r="B176" i="52"/>
  <c r="B175" i="52"/>
  <c r="I175" i="52" s="1"/>
  <c r="B174" i="52"/>
  <c r="B173" i="52"/>
  <c r="B171" i="52"/>
  <c r="B169" i="52"/>
  <c r="B167" i="52"/>
  <c r="B165" i="52"/>
  <c r="I165" i="52" s="1"/>
  <c r="B164" i="52"/>
  <c r="I164" i="52" s="1"/>
  <c r="B163" i="52"/>
  <c r="I163" i="52" s="1"/>
  <c r="B162" i="52"/>
  <c r="I162" i="52" s="1"/>
  <c r="B161" i="52"/>
  <c r="B159" i="52"/>
  <c r="I159" i="52" s="1"/>
  <c r="B157" i="52"/>
  <c r="I157" i="52" s="1"/>
  <c r="B156" i="52"/>
  <c r="I156" i="52" s="1"/>
  <c r="B155" i="52"/>
  <c r="B153" i="52"/>
  <c r="I153" i="52" s="1"/>
  <c r="B151" i="52"/>
  <c r="B150" i="52"/>
  <c r="I150" i="52" s="1"/>
  <c r="B149" i="52"/>
  <c r="I149" i="52" s="1"/>
  <c r="K149" i="52" s="1"/>
  <c r="L149" i="52" s="1"/>
  <c r="B148" i="52"/>
  <c r="I148" i="52" s="1"/>
  <c r="K148" i="52" s="1"/>
  <c r="L148" i="52" s="1"/>
  <c r="B147" i="52"/>
  <c r="I147" i="52" s="1"/>
  <c r="K147" i="52" s="1"/>
  <c r="B146" i="52"/>
  <c r="B145" i="52"/>
  <c r="I145" i="52" s="1"/>
  <c r="B144" i="52"/>
  <c r="B142" i="52"/>
  <c r="I142" i="52" s="1"/>
  <c r="B140" i="52"/>
  <c r="I140" i="52" s="1"/>
  <c r="B138" i="52"/>
  <c r="I138" i="52" s="1"/>
  <c r="B137" i="52"/>
  <c r="I137" i="52" s="1"/>
  <c r="B136" i="52"/>
  <c r="B134" i="52"/>
  <c r="I134" i="52" s="1"/>
  <c r="B133" i="52"/>
  <c r="I133" i="52" s="1"/>
  <c r="B131" i="52"/>
  <c r="I131" i="52" s="1"/>
  <c r="B130" i="52"/>
  <c r="I130" i="52" s="1"/>
  <c r="B129" i="52"/>
  <c r="I129" i="52" s="1"/>
  <c r="B128" i="52"/>
  <c r="B127" i="52"/>
  <c r="I127" i="52" s="1"/>
  <c r="B126" i="52"/>
  <c r="B125" i="52"/>
  <c r="I125" i="52" s="1"/>
  <c r="B124" i="52"/>
  <c r="I124" i="52" s="1"/>
  <c r="B123" i="52"/>
  <c r="I123" i="52" s="1"/>
  <c r="K123" i="52" s="1"/>
  <c r="L123" i="52" s="1"/>
  <c r="B122" i="52"/>
  <c r="I122" i="52" s="1"/>
  <c r="B121" i="52"/>
  <c r="B119" i="52"/>
  <c r="I119" i="52" s="1"/>
  <c r="B118" i="52"/>
  <c r="I118" i="52" s="1"/>
  <c r="B117" i="52"/>
  <c r="I117" i="52" s="1"/>
  <c r="B116" i="52"/>
  <c r="B114" i="52"/>
  <c r="I114" i="52" s="1"/>
  <c r="B112" i="52"/>
  <c r="I112" i="52" s="1"/>
  <c r="B111" i="52"/>
  <c r="I111" i="52" s="1"/>
  <c r="B110" i="52"/>
  <c r="I110" i="52" s="1"/>
  <c r="B109" i="52"/>
  <c r="I109" i="52" s="1"/>
  <c r="B108" i="52"/>
  <c r="I108" i="52" s="1"/>
  <c r="B107" i="52"/>
  <c r="I107" i="52" s="1"/>
  <c r="B106" i="52"/>
  <c r="B104" i="52"/>
  <c r="I104" i="52" s="1"/>
  <c r="B102" i="52"/>
  <c r="I102" i="52" s="1"/>
  <c r="B101" i="52"/>
  <c r="I101" i="52" s="1"/>
  <c r="B100" i="52"/>
  <c r="I100" i="52" s="1"/>
  <c r="B99" i="52"/>
  <c r="I99" i="52" s="1"/>
  <c r="B98" i="52"/>
  <c r="I98" i="52" s="1"/>
  <c r="B97" i="52"/>
  <c r="I97" i="52" s="1"/>
  <c r="B96" i="52"/>
  <c r="B94" i="52"/>
  <c r="I94" i="52" s="1"/>
  <c r="B93" i="52"/>
  <c r="B91" i="52"/>
  <c r="B85" i="52"/>
  <c r="I85" i="52" s="1"/>
  <c r="B84" i="52"/>
  <c r="I84" i="52" s="1"/>
  <c r="B83" i="52"/>
  <c r="I83" i="52" s="1"/>
  <c r="B82" i="52"/>
  <c r="I82" i="52" s="1"/>
  <c r="B81" i="52"/>
  <c r="I81" i="52" s="1"/>
  <c r="J80" i="52"/>
  <c r="J79" i="52" s="1"/>
  <c r="F80" i="52"/>
  <c r="F79" i="52" s="1"/>
  <c r="B80" i="52"/>
  <c r="B79" i="52"/>
  <c r="B77" i="52"/>
  <c r="I77" i="52" s="1"/>
  <c r="B76" i="52"/>
  <c r="I76" i="52" s="1"/>
  <c r="J75" i="52"/>
  <c r="F75" i="52"/>
  <c r="B75" i="52"/>
  <c r="B73" i="52"/>
  <c r="I73" i="52" s="1"/>
  <c r="B72" i="52"/>
  <c r="I72" i="52" s="1"/>
  <c r="B71" i="52"/>
  <c r="I71" i="52" s="1"/>
  <c r="J70" i="52"/>
  <c r="J65" i="52" s="1"/>
  <c r="F70" i="52"/>
  <c r="F65" i="52" s="1"/>
  <c r="B70" i="52"/>
  <c r="B68" i="52"/>
  <c r="B67" i="52"/>
  <c r="I67" i="52" s="1"/>
  <c r="B66" i="52"/>
  <c r="I66" i="52" s="1"/>
  <c r="B65" i="52"/>
  <c r="B63" i="52"/>
  <c r="I63" i="52" s="1"/>
  <c r="B62" i="52"/>
  <c r="I62" i="52" s="1"/>
  <c r="B61" i="52"/>
  <c r="I61" i="52" s="1"/>
  <c r="B60" i="52"/>
  <c r="I60" i="52" s="1"/>
  <c r="B59" i="52"/>
  <c r="I59" i="52" s="1"/>
  <c r="B58" i="52"/>
  <c r="I58" i="52" s="1"/>
  <c r="J57" i="52"/>
  <c r="F57" i="52"/>
  <c r="B57" i="52"/>
  <c r="B56" i="52"/>
  <c r="B54" i="52"/>
  <c r="I54" i="52" s="1"/>
  <c r="B53" i="52"/>
  <c r="I53" i="52" s="1"/>
  <c r="B52" i="52"/>
  <c r="I52" i="52" s="1"/>
  <c r="J51" i="52"/>
  <c r="F51" i="52"/>
  <c r="B51" i="52"/>
  <c r="B49" i="52"/>
  <c r="I49" i="52" s="1"/>
  <c r="B48" i="52"/>
  <c r="I48" i="52" s="1"/>
  <c r="J47" i="52"/>
  <c r="F47" i="52"/>
  <c r="B47" i="52"/>
  <c r="B46" i="52"/>
  <c r="I46" i="52" s="1"/>
  <c r="B45" i="52"/>
  <c r="I45" i="52" s="1"/>
  <c r="J44" i="52"/>
  <c r="F44" i="52"/>
  <c r="B44" i="52"/>
  <c r="B43" i="52"/>
  <c r="B41" i="52"/>
  <c r="I41" i="52" s="1"/>
  <c r="B40" i="52"/>
  <c r="I40" i="52" s="1"/>
  <c r="B39" i="52"/>
  <c r="I39" i="52" s="1"/>
  <c r="J38" i="52"/>
  <c r="F38" i="52"/>
  <c r="B38" i="52"/>
  <c r="B36" i="52"/>
  <c r="I36" i="52" s="1"/>
  <c r="B35" i="52"/>
  <c r="I35" i="52" s="1"/>
  <c r="B34" i="52"/>
  <c r="I34" i="52" s="1"/>
  <c r="B33" i="52"/>
  <c r="B32" i="52"/>
  <c r="I32" i="52" s="1"/>
  <c r="B31" i="52"/>
  <c r="B30" i="52"/>
  <c r="B29" i="52"/>
  <c r="I29" i="52" s="1"/>
  <c r="J28" i="52"/>
  <c r="F28" i="52"/>
  <c r="B28" i="52"/>
  <c r="B26" i="52"/>
  <c r="I26" i="52" s="1"/>
  <c r="B25" i="52"/>
  <c r="I25" i="52" s="1"/>
  <c r="J24" i="52"/>
  <c r="F24" i="52"/>
  <c r="B24" i="52"/>
  <c r="B22" i="52"/>
  <c r="I22" i="52" s="1"/>
  <c r="B21" i="52"/>
  <c r="I21" i="52" s="1"/>
  <c r="J20" i="52"/>
  <c r="F20" i="52"/>
  <c r="B20" i="52"/>
  <c r="B19" i="52"/>
  <c r="B17" i="52"/>
  <c r="I17" i="52" s="1"/>
  <c r="B16" i="52"/>
  <c r="I16" i="52" s="1"/>
  <c r="B15" i="52"/>
  <c r="I15" i="52" s="1"/>
  <c r="B14" i="52"/>
  <c r="I14" i="52" s="1"/>
  <c r="B13" i="52"/>
  <c r="I13" i="52" s="1"/>
  <c r="B12" i="52"/>
  <c r="I12" i="52" s="1"/>
  <c r="B11" i="52"/>
  <c r="I11" i="52" s="1"/>
  <c r="B10" i="52"/>
  <c r="I10" i="52" s="1"/>
  <c r="B9" i="52"/>
  <c r="I9" i="52" s="1"/>
  <c r="J8" i="52"/>
  <c r="F8" i="52"/>
  <c r="B8" i="52"/>
  <c r="B7" i="52"/>
  <c r="B6" i="52"/>
  <c r="K35" i="51"/>
  <c r="K34" i="51"/>
  <c r="K33" i="51"/>
  <c r="K32" i="51"/>
  <c r="K31" i="51"/>
  <c r="J30" i="51"/>
  <c r="H30" i="51"/>
  <c r="E30" i="51"/>
  <c r="G250" i="49"/>
  <c r="G249" i="49"/>
  <c r="G248" i="49"/>
  <c r="G247" i="49"/>
  <c r="G246" i="49"/>
  <c r="F245" i="49"/>
  <c r="E245" i="49"/>
  <c r="M245" i="52" s="1"/>
  <c r="G243" i="49"/>
  <c r="G239" i="49"/>
  <c r="G238" i="49"/>
  <c r="F237" i="49"/>
  <c r="G235" i="49"/>
  <c r="G234" i="49"/>
  <c r="F233" i="49"/>
  <c r="E233" i="49"/>
  <c r="M233" i="52" s="1"/>
  <c r="G231" i="49"/>
  <c r="G229" i="49"/>
  <c r="G228" i="49"/>
  <c r="G227" i="49"/>
  <c r="G226" i="49"/>
  <c r="G225" i="49"/>
  <c r="G224" i="49"/>
  <c r="F223" i="49"/>
  <c r="E223" i="49"/>
  <c r="M223" i="52" s="1"/>
  <c r="G221" i="49"/>
  <c r="G219" i="49"/>
  <c r="G218" i="49"/>
  <c r="G217" i="49"/>
  <c r="F216" i="49"/>
  <c r="E216" i="49"/>
  <c r="M216" i="52" s="1"/>
  <c r="G214" i="49"/>
  <c r="G212" i="49"/>
  <c r="G211" i="49"/>
  <c r="G210" i="49"/>
  <c r="G209" i="49"/>
  <c r="G206" i="49"/>
  <c r="G203" i="49"/>
  <c r="G192" i="49"/>
  <c r="G205" i="49"/>
  <c r="G202" i="49"/>
  <c r="G201" i="49"/>
  <c r="G200" i="49"/>
  <c r="G199" i="49"/>
  <c r="G198" i="49"/>
  <c r="G195" i="49"/>
  <c r="G191" i="49"/>
  <c r="G190" i="49"/>
  <c r="G189" i="49"/>
  <c r="G188" i="49"/>
  <c r="G187" i="49"/>
  <c r="G186" i="49"/>
  <c r="G182" i="49"/>
  <c r="G181" i="49"/>
  <c r="G180" i="49"/>
  <c r="G179" i="49"/>
  <c r="G178" i="49"/>
  <c r="G177" i="49"/>
  <c r="G176" i="49"/>
  <c r="G175" i="49"/>
  <c r="G165" i="49"/>
  <c r="G164" i="49"/>
  <c r="G163" i="49"/>
  <c r="G162" i="49"/>
  <c r="F161" i="49"/>
  <c r="E161" i="49"/>
  <c r="M161" i="52" s="1"/>
  <c r="G159" i="49"/>
  <c r="G157" i="49"/>
  <c r="G156" i="49"/>
  <c r="F155" i="49"/>
  <c r="E155" i="49"/>
  <c r="M155" i="52" s="1"/>
  <c r="G153" i="49"/>
  <c r="G151" i="49"/>
  <c r="G150" i="49"/>
  <c r="G148" i="49"/>
  <c r="G147" i="49"/>
  <c r="G145" i="49"/>
  <c r="G142" i="49"/>
  <c r="G140" i="49"/>
  <c r="G138" i="49"/>
  <c r="G137" i="49"/>
  <c r="F136" i="49"/>
  <c r="E136" i="49"/>
  <c r="M136" i="52" s="1"/>
  <c r="G132" i="49"/>
  <c r="G134" i="49"/>
  <c r="G130" i="49"/>
  <c r="G129" i="49"/>
  <c r="G124" i="49"/>
  <c r="G131" i="49"/>
  <c r="G133" i="49"/>
  <c r="G128" i="49"/>
  <c r="G127" i="49"/>
  <c r="G126" i="49"/>
  <c r="G125" i="49"/>
  <c r="G123" i="49"/>
  <c r="G122" i="49"/>
  <c r="G119" i="49"/>
  <c r="G118" i="49"/>
  <c r="G117" i="49"/>
  <c r="F116" i="49"/>
  <c r="E116" i="49"/>
  <c r="M116" i="52" s="1"/>
  <c r="G114" i="49"/>
  <c r="G112" i="49"/>
  <c r="G111" i="49"/>
  <c r="G110" i="49"/>
  <c r="G109" i="49"/>
  <c r="G108" i="49"/>
  <c r="G107" i="49"/>
  <c r="F106" i="49"/>
  <c r="E106" i="49"/>
  <c r="M106" i="52" s="1"/>
  <c r="G102" i="49"/>
  <c r="G101" i="49"/>
  <c r="G100" i="49"/>
  <c r="G99" i="49"/>
  <c r="G98" i="49"/>
  <c r="G97" i="49"/>
  <c r="F96" i="49"/>
  <c r="F93" i="49" s="1"/>
  <c r="E96" i="49"/>
  <c r="G94" i="49"/>
  <c r="G85" i="49"/>
  <c r="G84" i="49"/>
  <c r="G83" i="49"/>
  <c r="G82" i="49"/>
  <c r="G81" i="49"/>
  <c r="F80" i="49"/>
  <c r="F79" i="49" s="1"/>
  <c r="E80" i="49"/>
  <c r="G77" i="49"/>
  <c r="G76" i="49"/>
  <c r="F75" i="49"/>
  <c r="E75" i="49"/>
  <c r="M75" i="52" s="1"/>
  <c r="G73" i="49"/>
  <c r="G72" i="49"/>
  <c r="G71" i="49"/>
  <c r="F70" i="49"/>
  <c r="F65" i="49" s="1"/>
  <c r="E70" i="49"/>
  <c r="G68" i="49"/>
  <c r="G67" i="49"/>
  <c r="G66" i="49"/>
  <c r="G63" i="49"/>
  <c r="G62" i="49"/>
  <c r="G61" i="49"/>
  <c r="G60" i="49"/>
  <c r="G59" i="49"/>
  <c r="G58" i="49"/>
  <c r="F57" i="49"/>
  <c r="E57" i="49"/>
  <c r="M57" i="52" s="1"/>
  <c r="G54" i="49"/>
  <c r="G52" i="49"/>
  <c r="F51" i="49"/>
  <c r="E51" i="49"/>
  <c r="M51" i="52" s="1"/>
  <c r="G49" i="49"/>
  <c r="G48" i="49"/>
  <c r="F47" i="49"/>
  <c r="E47" i="49"/>
  <c r="M47" i="52" s="1"/>
  <c r="G46" i="49"/>
  <c r="G45" i="49"/>
  <c r="F44" i="49"/>
  <c r="E44" i="49"/>
  <c r="M44" i="52" s="1"/>
  <c r="G41" i="49"/>
  <c r="G40" i="49"/>
  <c r="G39" i="49"/>
  <c r="F38" i="49"/>
  <c r="E38" i="49"/>
  <c r="M38" i="52" s="1"/>
  <c r="G36" i="49"/>
  <c r="G35" i="49"/>
  <c r="G34" i="49"/>
  <c r="G33" i="49"/>
  <c r="G32" i="49"/>
  <c r="G31" i="49"/>
  <c r="G30" i="49"/>
  <c r="G29" i="49"/>
  <c r="F28" i="49"/>
  <c r="E28" i="49"/>
  <c r="M28" i="52" s="1"/>
  <c r="G26" i="49"/>
  <c r="G25" i="49"/>
  <c r="F24" i="49"/>
  <c r="E24" i="49"/>
  <c r="M24" i="52" s="1"/>
  <c r="G22" i="49"/>
  <c r="G21" i="49"/>
  <c r="F20" i="49"/>
  <c r="E20" i="49"/>
  <c r="M20" i="52" s="1"/>
  <c r="G17" i="49"/>
  <c r="G16" i="49"/>
  <c r="G15" i="49"/>
  <c r="G14" i="49"/>
  <c r="G13" i="49"/>
  <c r="G12" i="49"/>
  <c r="G11" i="49"/>
  <c r="G10" i="49"/>
  <c r="G9" i="49"/>
  <c r="F8" i="49"/>
  <c r="E8" i="49"/>
  <c r="L147" i="52" l="1"/>
  <c r="K146" i="52"/>
  <c r="I121" i="52"/>
  <c r="K29" i="49"/>
  <c r="K32" i="49"/>
  <c r="M8" i="52"/>
  <c r="M96" i="52"/>
  <c r="E93" i="49"/>
  <c r="M93" i="52" s="1"/>
  <c r="K34" i="49"/>
  <c r="E79" i="49"/>
  <c r="M79" i="52" s="1"/>
  <c r="M80" i="52"/>
  <c r="E65" i="49"/>
  <c r="M65" i="52" s="1"/>
  <c r="M70" i="52"/>
  <c r="F56" i="52"/>
  <c r="J56" i="52"/>
  <c r="K30" i="51"/>
  <c r="F167" i="49"/>
  <c r="J19" i="52"/>
  <c r="J43" i="52"/>
  <c r="F43" i="52"/>
  <c r="G233" i="49"/>
  <c r="G245" i="49"/>
  <c r="G116" i="49"/>
  <c r="G161" i="49"/>
  <c r="G174" i="49"/>
  <c r="G20" i="49"/>
  <c r="G24" i="49"/>
  <c r="G208" i="49"/>
  <c r="G194" i="49"/>
  <c r="G106" i="49"/>
  <c r="G44" i="49"/>
  <c r="G57" i="49"/>
  <c r="G38" i="49"/>
  <c r="G70" i="49"/>
  <c r="G155" i="49"/>
  <c r="E19" i="49"/>
  <c r="M19" i="52" s="1"/>
  <c r="G47" i="49"/>
  <c r="G51" i="49"/>
  <c r="G75" i="49"/>
  <c r="G121" i="49"/>
  <c r="G136" i="49"/>
  <c r="G216" i="49"/>
  <c r="G241" i="49"/>
  <c r="F43" i="49"/>
  <c r="E43" i="49"/>
  <c r="M43" i="52" s="1"/>
  <c r="F19" i="49"/>
  <c r="G80" i="49"/>
  <c r="G223" i="49"/>
  <c r="F19" i="52"/>
  <c r="G28" i="49"/>
  <c r="F56" i="49"/>
  <c r="G96" i="49"/>
  <c r="G185" i="49"/>
  <c r="G237" i="49"/>
  <c r="G8" i="49"/>
  <c r="G146" i="49"/>
  <c r="F89" i="52" l="1"/>
  <c r="F169" i="52" s="1"/>
  <c r="F89" i="49"/>
  <c r="F169" i="49" s="1"/>
  <c r="J89" i="52"/>
  <c r="J169" i="52" s="1"/>
  <c r="G79" i="49"/>
  <c r="E167" i="49"/>
  <c r="M167" i="52" s="1"/>
  <c r="G65" i="49"/>
  <c r="G144" i="49"/>
  <c r="E56" i="49"/>
  <c r="M56" i="52" s="1"/>
  <c r="G93" i="49"/>
  <c r="G19" i="49"/>
  <c r="G43" i="49"/>
  <c r="E89" i="49" l="1"/>
  <c r="M89" i="52" s="1"/>
  <c r="G56" i="49"/>
  <c r="G167" i="49"/>
  <c r="G89" i="49" l="1"/>
  <c r="E169" i="49"/>
  <c r="M169" i="52" s="1"/>
  <c r="G169" i="49" l="1"/>
  <c r="H208" i="49" s="1"/>
  <c r="H89" i="49" l="1"/>
  <c r="H223" i="49"/>
  <c r="H173" i="49"/>
  <c r="H252" i="49"/>
  <c r="J169" i="49"/>
  <c r="H43" i="49"/>
  <c r="H237" i="49"/>
  <c r="H167" i="49"/>
  <c r="H51" i="49"/>
  <c r="H155" i="49"/>
  <c r="H221" i="49"/>
  <c r="H216" i="49"/>
  <c r="H233" i="49"/>
  <c r="H169" i="49"/>
  <c r="H245" i="49"/>
  <c r="H116" i="49"/>
  <c r="H161" i="49"/>
  <c r="H136" i="49"/>
  <c r="H231" i="49"/>
  <c r="H93" i="49"/>
  <c r="H144" i="49"/>
  <c r="H114" i="49"/>
  <c r="H159" i="49"/>
  <c r="H19" i="49"/>
  <c r="H38" i="49"/>
  <c r="H106" i="49"/>
  <c r="H140" i="49"/>
  <c r="H8" i="49"/>
  <c r="H121" i="49"/>
  <c r="H28" i="49"/>
  <c r="H56" i="49"/>
  <c r="H241" i="49"/>
  <c r="H153" i="49"/>
  <c r="F7" i="1" l="1"/>
  <c r="C24" i="6" l="1"/>
  <c r="C25" i="6"/>
  <c r="C27" i="6"/>
  <c r="G9" i="6"/>
  <c r="H8" i="6"/>
  <c r="H9" i="6"/>
  <c r="G8" i="6"/>
  <c r="B8" i="6"/>
  <c r="H7" i="6"/>
  <c r="C26" i="6"/>
  <c r="C9" i="6"/>
  <c r="G7" i="6"/>
  <c r="B26" i="6"/>
  <c r="B27" i="6"/>
  <c r="B23" i="6"/>
  <c r="B19" i="6"/>
  <c r="B15" i="6"/>
  <c r="B11" i="6"/>
  <c r="B7" i="6"/>
  <c r="B9" i="6"/>
  <c r="B22" i="6"/>
  <c r="B18" i="6"/>
  <c r="B14" i="6"/>
  <c r="B20" i="6"/>
  <c r="B12" i="6"/>
  <c r="B25" i="6"/>
  <c r="B21" i="6"/>
  <c r="B17" i="6"/>
  <c r="B13" i="6"/>
  <c r="B10" i="6"/>
  <c r="B24" i="6"/>
  <c r="B16" i="6"/>
  <c r="G7" i="1"/>
  <c r="K4" i="52"/>
  <c r="E249" i="52"/>
  <c r="D250" i="49"/>
  <c r="E241" i="52"/>
  <c r="E238" i="52"/>
  <c r="D239" i="49"/>
  <c r="D237" i="49"/>
  <c r="E237" i="52"/>
  <c r="D238" i="49"/>
  <c r="L4" i="52"/>
  <c r="D235" i="49"/>
  <c r="D245" i="49"/>
  <c r="D252" i="49"/>
  <c r="D243" i="49"/>
  <c r="J4" i="52"/>
  <c r="E245" i="52"/>
  <c r="D246" i="49"/>
  <c r="D247" i="49"/>
  <c r="J34" i="49"/>
  <c r="D234" i="49"/>
  <c r="E252" i="52"/>
  <c r="D254" i="49"/>
  <c r="E250" i="52"/>
  <c r="I4" i="52"/>
  <c r="E239" i="52"/>
  <c r="D241" i="49"/>
  <c r="E248" i="52"/>
  <c r="D249" i="49"/>
  <c r="E246" i="52"/>
  <c r="E247" i="52"/>
  <c r="D248" i="49"/>
  <c r="E243" i="52"/>
  <c r="E242" i="52"/>
  <c r="D242" i="49"/>
  <c r="D224" i="49"/>
  <c r="D203" i="49"/>
  <c r="D186" i="49"/>
  <c r="D165" i="49"/>
  <c r="D145" i="49"/>
  <c r="D125" i="49"/>
  <c r="D106" i="49"/>
  <c r="D94" i="49"/>
  <c r="D191" i="49"/>
  <c r="D134" i="49"/>
  <c r="D217" i="49"/>
  <c r="D198" i="49"/>
  <c r="D180" i="49"/>
  <c r="D159" i="49"/>
  <c r="D137" i="49"/>
  <c r="D119" i="49"/>
  <c r="D99" i="49"/>
  <c r="D219" i="49"/>
  <c r="D156" i="49"/>
  <c r="D91" i="49"/>
  <c r="D221" i="49"/>
  <c r="D201" i="49"/>
  <c r="D183" i="49"/>
  <c r="D163" i="49"/>
  <c r="D142" i="49"/>
  <c r="D123" i="49"/>
  <c r="D196" i="49"/>
  <c r="D130" i="49"/>
  <c r="D110" i="49"/>
  <c r="D97" i="49"/>
  <c r="D185" i="49"/>
  <c r="D124" i="49"/>
  <c r="D107" i="49"/>
  <c r="D206" i="49"/>
  <c r="D147" i="49"/>
  <c r="D146" i="49"/>
  <c r="E132" i="52"/>
  <c r="E221" i="52"/>
  <c r="D218" i="49"/>
  <c r="D199" i="49"/>
  <c r="D181" i="49"/>
  <c r="D161" i="49"/>
  <c r="D138" i="49"/>
  <c r="D121" i="49"/>
  <c r="D100" i="49"/>
  <c r="D112" i="49"/>
  <c r="D229" i="49"/>
  <c r="D178" i="49"/>
  <c r="D126" i="49"/>
  <c r="D233" i="49"/>
  <c r="D212" i="49"/>
  <c r="D194" i="49"/>
  <c r="D176" i="49"/>
  <c r="D153" i="49"/>
  <c r="D132" i="49"/>
  <c r="D114" i="49"/>
  <c r="D87" i="49"/>
  <c r="D205" i="49"/>
  <c r="D140" i="49"/>
  <c r="D216" i="49"/>
  <c r="D197" i="49"/>
  <c r="D179" i="49"/>
  <c r="D157" i="49"/>
  <c r="D136" i="49"/>
  <c r="D118" i="49"/>
  <c r="D182" i="49"/>
  <c r="D117" i="49"/>
  <c r="D89" i="49"/>
  <c r="D223" i="49"/>
  <c r="D164" i="49"/>
  <c r="D188" i="49"/>
  <c r="D93" i="49"/>
  <c r="D213" i="49"/>
  <c r="D195" i="49"/>
  <c r="D177" i="49"/>
  <c r="D155" i="49"/>
  <c r="D133" i="49"/>
  <c r="D116" i="49"/>
  <c r="D96" i="49"/>
  <c r="D98" i="49"/>
  <c r="D214" i="49"/>
  <c r="D162" i="49"/>
  <c r="D111" i="49"/>
  <c r="D227" i="49"/>
  <c r="D208" i="49"/>
  <c r="D189" i="49"/>
  <c r="D171" i="49"/>
  <c r="D148" i="49"/>
  <c r="D128" i="49"/>
  <c r="D109" i="49"/>
  <c r="D102" i="49"/>
  <c r="D187" i="49"/>
  <c r="D122" i="49"/>
  <c r="D231" i="49"/>
  <c r="D211" i="49"/>
  <c r="D192" i="49"/>
  <c r="D175" i="49"/>
  <c r="D151" i="49"/>
  <c r="D131" i="49"/>
  <c r="D108" i="49"/>
  <c r="D225" i="49"/>
  <c r="D167" i="49"/>
  <c r="D101" i="49"/>
  <c r="D228" i="49"/>
  <c r="D209" i="49"/>
  <c r="D190" i="49"/>
  <c r="D173" i="49"/>
  <c r="D149" i="49"/>
  <c r="D129" i="49"/>
  <c r="D200" i="49"/>
  <c r="D150" i="49"/>
  <c r="D202" i="49"/>
  <c r="D144" i="49"/>
  <c r="D104" i="49"/>
  <c r="D174" i="49"/>
  <c r="D226" i="49"/>
  <c r="D169" i="49"/>
  <c r="D127" i="49"/>
  <c r="D210" i="49"/>
  <c r="D54" i="49"/>
  <c r="D60" i="49"/>
  <c r="D53" i="49"/>
  <c r="D77" i="49"/>
  <c r="J250" i="49" l="1"/>
  <c r="K27" i="49"/>
  <c r="J167" i="49"/>
  <c r="D7" i="5" l="1"/>
  <c r="C7" i="5"/>
  <c r="E7" i="5"/>
  <c r="D45" i="5" l="1"/>
  <c r="E45" i="5"/>
  <c r="C21" i="1" l="1"/>
  <c r="B15" i="1"/>
  <c r="B19" i="1"/>
  <c r="C19" i="1"/>
  <c r="B21" i="1"/>
  <c r="C18" i="1"/>
  <c r="C17" i="1"/>
  <c r="E63" i="52"/>
  <c r="E96" i="52"/>
  <c r="E99" i="52"/>
  <c r="E93" i="52"/>
  <c r="E98" i="52"/>
  <c r="E110" i="52"/>
  <c r="E89" i="52"/>
  <c r="E94" i="52"/>
  <c r="E108" i="52"/>
  <c r="E104" i="52"/>
  <c r="E106" i="52"/>
  <c r="E109" i="52"/>
  <c r="E87" i="52"/>
  <c r="E101" i="52"/>
  <c r="E102" i="52"/>
  <c r="E107" i="52"/>
  <c r="E100" i="52"/>
  <c r="E97" i="52"/>
  <c r="E91" i="52"/>
  <c r="B17" i="1"/>
  <c r="B18" i="1"/>
  <c r="E231" i="52"/>
  <c r="E226" i="52"/>
  <c r="E216" i="52"/>
  <c r="E211" i="52"/>
  <c r="E206" i="52"/>
  <c r="E201" i="52"/>
  <c r="E197" i="52"/>
  <c r="E192" i="52"/>
  <c r="E235" i="52"/>
  <c r="E229" i="52"/>
  <c r="E225" i="52"/>
  <c r="E219" i="52"/>
  <c r="E214" i="52"/>
  <c r="E210" i="52"/>
  <c r="E205" i="52"/>
  <c r="E200" i="52"/>
  <c r="E196" i="52"/>
  <c r="E191" i="52"/>
  <c r="F5" i="49"/>
  <c r="E234" i="52"/>
  <c r="E228" i="52"/>
  <c r="E224" i="52"/>
  <c r="E218" i="52"/>
  <c r="E213" i="52"/>
  <c r="E209" i="52"/>
  <c r="E203" i="52"/>
  <c r="E199" i="52"/>
  <c r="E195" i="52"/>
  <c r="E190" i="52"/>
  <c r="E233" i="52"/>
  <c r="E227" i="52"/>
  <c r="E223" i="52"/>
  <c r="E217" i="52"/>
  <c r="E212" i="52"/>
  <c r="E208" i="52"/>
  <c r="E202" i="52"/>
  <c r="E198" i="52"/>
  <c r="E194" i="52"/>
  <c r="C5" i="52"/>
  <c r="F4" i="52"/>
  <c r="E188" i="52"/>
  <c r="E183" i="52"/>
  <c r="E179" i="52"/>
  <c r="E175" i="52"/>
  <c r="E169" i="52"/>
  <c r="E163" i="52"/>
  <c r="E157" i="52"/>
  <c r="E151" i="52"/>
  <c r="E147" i="52"/>
  <c r="E142" i="52"/>
  <c r="E136" i="52"/>
  <c r="E131" i="52"/>
  <c r="E127" i="52"/>
  <c r="E123" i="52"/>
  <c r="E118" i="52"/>
  <c r="E112" i="52"/>
  <c r="E85" i="52"/>
  <c r="E81" i="52"/>
  <c r="E76" i="52"/>
  <c r="E71" i="52"/>
  <c r="E66" i="52"/>
  <c r="E61" i="52"/>
  <c r="E57" i="52"/>
  <c r="E52" i="52"/>
  <c r="E47" i="52"/>
  <c r="E43" i="52"/>
  <c r="E38" i="52"/>
  <c r="E33" i="52"/>
  <c r="E29" i="52"/>
  <c r="E24" i="52"/>
  <c r="E19" i="52"/>
  <c r="E14" i="52"/>
  <c r="E10" i="52"/>
  <c r="D5" i="52"/>
  <c r="E187" i="52"/>
  <c r="E182" i="52"/>
  <c r="E178" i="52"/>
  <c r="E174" i="52"/>
  <c r="E167" i="52"/>
  <c r="E162" i="52"/>
  <c r="E156" i="52"/>
  <c r="E150" i="52"/>
  <c r="E146" i="52"/>
  <c r="E140" i="52"/>
  <c r="E134" i="52"/>
  <c r="E130" i="52"/>
  <c r="E126" i="52"/>
  <c r="E122" i="52"/>
  <c r="E117" i="52"/>
  <c r="E111" i="52"/>
  <c r="E84" i="52"/>
  <c r="E80" i="52"/>
  <c r="E75" i="52"/>
  <c r="E70" i="52"/>
  <c r="E65" i="52"/>
  <c r="E60" i="52"/>
  <c r="E56" i="52"/>
  <c r="E51" i="52"/>
  <c r="E46" i="52"/>
  <c r="E41" i="52"/>
  <c r="E36" i="52"/>
  <c r="E32" i="52"/>
  <c r="E28" i="52"/>
  <c r="E22" i="52"/>
  <c r="E17" i="52"/>
  <c r="E13" i="52"/>
  <c r="E9" i="52"/>
  <c r="M4" i="52"/>
  <c r="E186" i="52"/>
  <c r="E177" i="52"/>
  <c r="E165" i="52"/>
  <c r="E155" i="52"/>
  <c r="E145" i="52"/>
  <c r="E133" i="52"/>
  <c r="E125" i="52"/>
  <c r="E116" i="52"/>
  <c r="E83" i="52"/>
  <c r="E73" i="52"/>
  <c r="E54" i="52"/>
  <c r="E45" i="52"/>
  <c r="E35" i="52"/>
  <c r="E26" i="52"/>
  <c r="E16" i="52"/>
  <c r="E8" i="52"/>
  <c r="D84" i="49"/>
  <c r="D80" i="49"/>
  <c r="D75" i="49"/>
  <c r="D70" i="49"/>
  <c r="D65" i="49"/>
  <c r="D56" i="49"/>
  <c r="D51" i="49"/>
  <c r="D46" i="49"/>
  <c r="D41" i="49"/>
  <c r="D36" i="49"/>
  <c r="D33" i="49"/>
  <c r="D30" i="49"/>
  <c r="D26" i="49"/>
  <c r="D21" i="49"/>
  <c r="D16" i="49"/>
  <c r="D12" i="49"/>
  <c r="D8" i="49"/>
  <c r="G5" i="49"/>
  <c r="B5" i="49"/>
  <c r="E181" i="52"/>
  <c r="E161" i="52"/>
  <c r="E138" i="52"/>
  <c r="E121" i="52"/>
  <c r="E79" i="52"/>
  <c r="E59" i="52"/>
  <c r="E40" i="52"/>
  <c r="E21" i="52"/>
  <c r="E4" i="52"/>
  <c r="D82" i="49"/>
  <c r="D72" i="49"/>
  <c r="D62" i="49"/>
  <c r="D44" i="49"/>
  <c r="D29" i="49"/>
  <c r="D19" i="49"/>
  <c r="D10" i="49"/>
  <c r="E5" i="49"/>
  <c r="E180" i="52"/>
  <c r="E159" i="52"/>
  <c r="E148" i="52"/>
  <c r="E128" i="52"/>
  <c r="E67" i="52"/>
  <c r="E48" i="52"/>
  <c r="E30" i="52"/>
  <c r="E11" i="52"/>
  <c r="D81" i="49"/>
  <c r="D71" i="49"/>
  <c r="D61" i="49"/>
  <c r="D52" i="49"/>
  <c r="D43" i="49"/>
  <c r="D34" i="49"/>
  <c r="D28" i="49"/>
  <c r="D17" i="49"/>
  <c r="D9" i="49"/>
  <c r="D5" i="49"/>
  <c r="E185" i="52"/>
  <c r="E176" i="52"/>
  <c r="E164" i="52"/>
  <c r="E153" i="52"/>
  <c r="E144" i="52"/>
  <c r="E124" i="52"/>
  <c r="E114" i="52"/>
  <c r="E82" i="52"/>
  <c r="E72" i="52"/>
  <c r="E62" i="52"/>
  <c r="E53" i="52"/>
  <c r="E44" i="52"/>
  <c r="E34" i="52"/>
  <c r="E25" i="52"/>
  <c r="E15" i="52"/>
  <c r="E7" i="52"/>
  <c r="D83" i="49"/>
  <c r="D79" i="49"/>
  <c r="D73" i="49"/>
  <c r="D68" i="49"/>
  <c r="D63" i="49"/>
  <c r="D59" i="49"/>
  <c r="D49" i="49"/>
  <c r="D45" i="49"/>
  <c r="D40" i="49"/>
  <c r="D35" i="49"/>
  <c r="J32" i="49"/>
  <c r="J29" i="49"/>
  <c r="D25" i="49"/>
  <c r="D20" i="49"/>
  <c r="D15" i="49"/>
  <c r="D11" i="49"/>
  <c r="D7" i="49"/>
  <c r="H4" i="52"/>
  <c r="E173" i="52"/>
  <c r="E149" i="52"/>
  <c r="E129" i="52"/>
  <c r="E68" i="52"/>
  <c r="E49" i="52"/>
  <c r="E31" i="52"/>
  <c r="E12" i="52"/>
  <c r="D67" i="49"/>
  <c r="D58" i="49"/>
  <c r="D48" i="49"/>
  <c r="D39" i="49"/>
  <c r="D32" i="49"/>
  <c r="D24" i="49"/>
  <c r="D14" i="49"/>
  <c r="H6" i="49"/>
  <c r="G4" i="52"/>
  <c r="E189" i="52"/>
  <c r="E171" i="52"/>
  <c r="E137" i="52"/>
  <c r="E119" i="52"/>
  <c r="E77" i="52"/>
  <c r="E58" i="52"/>
  <c r="E39" i="52"/>
  <c r="E20" i="52"/>
  <c r="B4" i="52"/>
  <c r="D85" i="49"/>
  <c r="D76" i="49"/>
  <c r="D66" i="49"/>
  <c r="D57" i="49"/>
  <c r="D47" i="49"/>
  <c r="D38" i="49"/>
  <c r="D31" i="49"/>
  <c r="D22" i="49"/>
  <c r="D13" i="49"/>
  <c r="C6" i="49"/>
  <c r="B11" i="1"/>
  <c r="B14" i="1"/>
  <c r="B9" i="1"/>
  <c r="K231" i="52" l="1"/>
  <c r="L231" i="52" s="1"/>
  <c r="K221" i="52"/>
  <c r="L221" i="52" s="1"/>
  <c r="K192" i="52"/>
  <c r="L192" i="52" s="1"/>
  <c r="K190" i="52"/>
  <c r="L190" i="52" s="1"/>
  <c r="K188" i="52"/>
  <c r="L188" i="52" s="1"/>
  <c r="K182" i="52"/>
  <c r="L182" i="52" s="1"/>
  <c r="L1" i="52" s="1"/>
  <c r="K179" i="52"/>
  <c r="L179" i="52" s="1"/>
  <c r="K159" i="52"/>
  <c r="L159" i="52" s="1"/>
  <c r="K153" i="52"/>
  <c r="L153" i="52" s="1"/>
  <c r="K140" i="52"/>
  <c r="L140" i="52" s="1"/>
  <c r="K114" i="52"/>
  <c r="L114" i="52" s="1"/>
  <c r="K133" i="52"/>
  <c r="L133" i="52" s="1"/>
  <c r="K131" i="52"/>
  <c r="L131" i="52" s="1"/>
  <c r="K125" i="52"/>
  <c r="L125" i="52" s="1"/>
  <c r="K118" i="52"/>
  <c r="L118" i="52" s="1"/>
  <c r="K110" i="52"/>
  <c r="L110" i="52" s="1"/>
  <c r="K102" i="52"/>
  <c r="L102" i="52" s="1"/>
  <c r="K98" i="52"/>
  <c r="L98" i="52" s="1"/>
  <c r="K181" i="52"/>
  <c r="L181" i="52" s="1"/>
  <c r="K142" i="52"/>
  <c r="L142" i="52" s="1"/>
  <c r="K164" i="52"/>
  <c r="L164" i="52" s="1"/>
  <c r="K132" i="52"/>
  <c r="L132" i="52" s="1"/>
  <c r="K219" i="52"/>
  <c r="L219" i="52" s="1"/>
  <c r="K250" i="52"/>
  <c r="L250" i="52" s="1"/>
  <c r="K248" i="52"/>
  <c r="L248" i="52" s="1"/>
  <c r="K239" i="52"/>
  <c r="L239" i="52" s="1"/>
  <c r="K235" i="52"/>
  <c r="L235" i="52" s="1"/>
  <c r="K229" i="52"/>
  <c r="L229" i="52" s="1"/>
  <c r="K227" i="52"/>
  <c r="L227" i="52" s="1"/>
  <c r="K225" i="52"/>
  <c r="L225" i="52" s="1"/>
  <c r="K213" i="52"/>
  <c r="L213" i="52" s="1"/>
  <c r="K209" i="52"/>
  <c r="L209" i="52" s="1"/>
  <c r="K205" i="52"/>
  <c r="L205" i="52" s="1"/>
  <c r="K201" i="52"/>
  <c r="L201" i="52" s="1"/>
  <c r="K199" i="52"/>
  <c r="L199" i="52" s="1"/>
  <c r="K165" i="52"/>
  <c r="L165" i="52" s="1"/>
  <c r="K163" i="52"/>
  <c r="L163" i="52" s="1"/>
  <c r="K157" i="52"/>
  <c r="L157" i="52" s="1"/>
  <c r="K150" i="52"/>
  <c r="L150" i="52" s="1"/>
  <c r="K129" i="52"/>
  <c r="L129" i="52" s="1"/>
  <c r="K112" i="52"/>
  <c r="L112" i="52" s="1"/>
  <c r="K108" i="52"/>
  <c r="L108" i="52" s="1"/>
  <c r="K100" i="52"/>
  <c r="L100" i="52" s="1"/>
  <c r="K94" i="52"/>
  <c r="L94" i="52" s="1"/>
  <c r="K178" i="52"/>
  <c r="L178" i="52" s="1"/>
  <c r="K138" i="52"/>
  <c r="L138" i="52" s="1"/>
  <c r="K127" i="52"/>
  <c r="L127" i="52" s="1"/>
  <c r="K111" i="52"/>
  <c r="L111" i="52" s="1"/>
  <c r="K99" i="52"/>
  <c r="L99" i="52" s="1"/>
  <c r="K243" i="52"/>
  <c r="L243" i="52" s="1"/>
  <c r="K191" i="52"/>
  <c r="L191" i="52" s="1"/>
  <c r="K189" i="52"/>
  <c r="L189" i="52" s="1"/>
  <c r="K183" i="52"/>
  <c r="L183" i="52" s="1"/>
  <c r="K134" i="52"/>
  <c r="L134" i="52" s="1"/>
  <c r="K124" i="52"/>
  <c r="L124" i="52" s="1"/>
  <c r="K109" i="52"/>
  <c r="L109" i="52" s="1"/>
  <c r="K218" i="52"/>
  <c r="L218" i="52" s="1"/>
  <c r="K249" i="52"/>
  <c r="L249" i="52" s="1"/>
  <c r="K247" i="52"/>
  <c r="L247" i="52" s="1"/>
  <c r="K228" i="52"/>
  <c r="L228" i="52" s="1"/>
  <c r="K226" i="52"/>
  <c r="L226" i="52" s="1"/>
  <c r="K211" i="52"/>
  <c r="L211" i="52" s="1"/>
  <c r="K202" i="52"/>
  <c r="L202" i="52" s="1"/>
  <c r="K200" i="52"/>
  <c r="L200" i="52" s="1"/>
  <c r="K130" i="52"/>
  <c r="L130" i="52" s="1"/>
  <c r="K119" i="52"/>
  <c r="L119" i="52" s="1"/>
  <c r="K101" i="52"/>
  <c r="L101" i="52" s="1"/>
  <c r="K87" i="52"/>
  <c r="L87" i="52" s="1"/>
  <c r="K72" i="52"/>
  <c r="L72" i="52" s="1"/>
  <c r="K13" i="52"/>
  <c r="L13" i="52" s="1"/>
  <c r="K34" i="52"/>
  <c r="L34" i="52" s="1"/>
  <c r="K62" i="52"/>
  <c r="L62" i="52" s="1"/>
  <c r="K83" i="52"/>
  <c r="L83" i="52" s="1"/>
  <c r="K49" i="52"/>
  <c r="L49" i="52" s="1"/>
  <c r="K10" i="52"/>
  <c r="L10" i="52" s="1"/>
  <c r="K22" i="52"/>
  <c r="L22" i="52" s="1"/>
  <c r="K63" i="52"/>
  <c r="L63" i="52" s="1"/>
  <c r="K48" i="52"/>
  <c r="L48" i="52" s="1"/>
  <c r="K26" i="52"/>
  <c r="L26" i="52" s="1"/>
  <c r="K14" i="52"/>
  <c r="L14" i="52" s="1"/>
  <c r="K41" i="52"/>
  <c r="L41" i="52" s="1"/>
  <c r="K53" i="52"/>
  <c r="L53" i="52" s="1"/>
  <c r="K203" i="52"/>
  <c r="L203" i="52" s="1"/>
  <c r="K82" i="52"/>
  <c r="L82" i="52" s="1"/>
  <c r="K36" i="52"/>
  <c r="L36" i="52" s="1"/>
  <c r="K54" i="52"/>
  <c r="L54" i="52" s="1"/>
  <c r="K85" i="52"/>
  <c r="L85" i="52" s="1"/>
  <c r="K45" i="52"/>
  <c r="L45" i="52" s="1"/>
  <c r="K67" i="52"/>
  <c r="L67" i="52" s="1"/>
  <c r="K60" i="52"/>
  <c r="L60" i="52" s="1"/>
  <c r="K46" i="52"/>
  <c r="L46" i="52" s="1"/>
  <c r="K35" i="52"/>
  <c r="L35" i="52" s="1"/>
  <c r="K12" i="52"/>
  <c r="L12" i="52" s="1"/>
  <c r="K32" i="52"/>
  <c r="L32" i="52" s="1"/>
  <c r="K17" i="52"/>
  <c r="L17" i="52" s="1"/>
  <c r="K84" i="52"/>
  <c r="L84" i="52" s="1"/>
  <c r="K73" i="52"/>
  <c r="L73" i="52" s="1"/>
  <c r="K40" i="52"/>
  <c r="L40" i="52" s="1"/>
  <c r="K77" i="52"/>
  <c r="L77" i="52" s="1"/>
  <c r="K11" i="52"/>
  <c r="L11" i="52" s="1"/>
  <c r="K61" i="52"/>
  <c r="L61" i="52" s="1"/>
  <c r="K16" i="52"/>
  <c r="L16" i="52" s="1"/>
  <c r="K59" i="52"/>
  <c r="L59" i="52" s="1"/>
  <c r="I146" i="52" l="1"/>
  <c r="I144" i="52" s="1"/>
  <c r="K145" i="52"/>
  <c r="K162" i="52"/>
  <c r="I161" i="52"/>
  <c r="K234" i="52"/>
  <c r="I233" i="52"/>
  <c r="K117" i="52"/>
  <c r="I116" i="52"/>
  <c r="K198" i="52"/>
  <c r="I194" i="52"/>
  <c r="K224" i="52"/>
  <c r="I223" i="52"/>
  <c r="K217" i="52"/>
  <c r="I216" i="52"/>
  <c r="K238" i="52"/>
  <c r="I237" i="52"/>
  <c r="K97" i="52"/>
  <c r="I96" i="52"/>
  <c r="I93" i="52" s="1"/>
  <c r="K246" i="52"/>
  <c r="I245" i="52"/>
  <c r="K122" i="52"/>
  <c r="K121" i="52" s="1"/>
  <c r="K186" i="52"/>
  <c r="I185" i="52"/>
  <c r="K156" i="52"/>
  <c r="I155" i="52"/>
  <c r="K107" i="52"/>
  <c r="I106" i="52"/>
  <c r="K137" i="52"/>
  <c r="I136" i="52"/>
  <c r="I174" i="52"/>
  <c r="K175" i="52"/>
  <c r="I241" i="52"/>
  <c r="K242" i="52"/>
  <c r="K214" i="52"/>
  <c r="I208" i="52"/>
  <c r="K15" i="52"/>
  <c r="I47" i="52"/>
  <c r="K81" i="52"/>
  <c r="I80" i="52"/>
  <c r="I79" i="52" s="1"/>
  <c r="K29" i="52"/>
  <c r="I28" i="52"/>
  <c r="I70" i="52"/>
  <c r="I65" i="52" s="1"/>
  <c r="K71" i="52"/>
  <c r="K25" i="52"/>
  <c r="I24" i="52"/>
  <c r="K9" i="52"/>
  <c r="I8" i="52"/>
  <c r="I51" i="52"/>
  <c r="K52" i="52"/>
  <c r="K39" i="52"/>
  <c r="I38" i="52"/>
  <c r="I44" i="52"/>
  <c r="K58" i="52"/>
  <c r="I57" i="52"/>
  <c r="K76" i="52"/>
  <c r="I75" i="52"/>
  <c r="K66" i="52"/>
  <c r="K206" i="52"/>
  <c r="K21" i="52"/>
  <c r="I20" i="52"/>
  <c r="K104" i="52"/>
  <c r="I252" i="52" l="1"/>
  <c r="L145" i="52"/>
  <c r="K144" i="52"/>
  <c r="L122" i="52"/>
  <c r="L121" i="52"/>
  <c r="K96" i="52"/>
  <c r="L96" i="52" s="1"/>
  <c r="L97" i="52"/>
  <c r="L217" i="52"/>
  <c r="K216" i="52"/>
  <c r="L216" i="52" s="1"/>
  <c r="L234" i="52"/>
  <c r="K233" i="52"/>
  <c r="L233" i="52" s="1"/>
  <c r="L107" i="52"/>
  <c r="K106" i="52"/>
  <c r="L106" i="52" s="1"/>
  <c r="L186" i="52"/>
  <c r="K185" i="52"/>
  <c r="L185" i="52" s="1"/>
  <c r="K241" i="52"/>
  <c r="L241" i="52" s="1"/>
  <c r="L242" i="52"/>
  <c r="L246" i="52"/>
  <c r="K245" i="52"/>
  <c r="L245" i="52" s="1"/>
  <c r="K237" i="52"/>
  <c r="L237" i="52" s="1"/>
  <c r="L238" i="52"/>
  <c r="L224" i="52"/>
  <c r="K223" i="52"/>
  <c r="L223" i="52" s="1"/>
  <c r="L117" i="52"/>
  <c r="K116" i="52"/>
  <c r="L116" i="52" s="1"/>
  <c r="L162" i="52"/>
  <c r="K161" i="52"/>
  <c r="L161" i="52" s="1"/>
  <c r="L175" i="52"/>
  <c r="K174" i="52"/>
  <c r="L198" i="52"/>
  <c r="K194" i="52"/>
  <c r="L194" i="52" s="1"/>
  <c r="I167" i="52"/>
  <c r="L137" i="52"/>
  <c r="K136" i="52"/>
  <c r="L136" i="52" s="1"/>
  <c r="L156" i="52"/>
  <c r="K155" i="52"/>
  <c r="L155" i="52" s="1"/>
  <c r="L214" i="52"/>
  <c r="K208" i="52"/>
  <c r="L208" i="52" s="1"/>
  <c r="I56" i="52"/>
  <c r="L15" i="52"/>
  <c r="I19" i="52"/>
  <c r="I43" i="52"/>
  <c r="L206" i="52"/>
  <c r="L66" i="52"/>
  <c r="K51" i="52"/>
  <c r="L51" i="52" s="1"/>
  <c r="L52" i="52"/>
  <c r="K28" i="52"/>
  <c r="L28" i="52" s="1"/>
  <c r="L29" i="52"/>
  <c r="L81" i="52"/>
  <c r="K80" i="52"/>
  <c r="K47" i="52"/>
  <c r="L47" i="52" s="1"/>
  <c r="K70" i="52"/>
  <c r="L71" i="52"/>
  <c r="L104" i="52"/>
  <c r="K44" i="52"/>
  <c r="K20" i="52"/>
  <c r="L21" i="52"/>
  <c r="K75" i="52"/>
  <c r="L75" i="52" s="1"/>
  <c r="L76" i="52"/>
  <c r="K57" i="52"/>
  <c r="L58" i="52"/>
  <c r="K38" i="52"/>
  <c r="L38" i="52" s="1"/>
  <c r="L39" i="52"/>
  <c r="K8" i="52"/>
  <c r="L9" i="52"/>
  <c r="L25" i="52"/>
  <c r="K24" i="52"/>
  <c r="L24" i="52" s="1"/>
  <c r="L174" i="52" l="1"/>
  <c r="K173" i="52"/>
  <c r="K252" i="52" s="1"/>
  <c r="I89" i="52"/>
  <c r="I169" i="52" s="1"/>
  <c r="K93" i="52"/>
  <c r="L93" i="52" s="1"/>
  <c r="L146" i="52"/>
  <c r="L70" i="52"/>
  <c r="K65" i="52"/>
  <c r="L65" i="52" s="1"/>
  <c r="L57" i="52"/>
  <c r="K19" i="52"/>
  <c r="L19" i="52" s="1"/>
  <c r="L20" i="52"/>
  <c r="L44" i="52"/>
  <c r="K43" i="52"/>
  <c r="L43" i="52" s="1"/>
  <c r="L8" i="52"/>
  <c r="L80" i="52"/>
  <c r="K79" i="52"/>
  <c r="L79" i="52" s="1"/>
  <c r="L173" i="52" l="1"/>
  <c r="L3" i="52" s="1"/>
  <c r="D14" i="6" s="1"/>
  <c r="L144" i="52"/>
  <c r="K167" i="52"/>
  <c r="L167" i="52" s="1"/>
  <c r="K56" i="52"/>
  <c r="L56" i="52" s="1"/>
  <c r="K89" i="52" l="1"/>
  <c r="K169" i="52" s="1"/>
  <c r="L169" i="52" s="1"/>
  <c r="L89" i="52" l="1"/>
  <c r="F252" i="49"/>
  <c r="F254" i="49" s="1"/>
  <c r="E252" i="49" l="1"/>
  <c r="M252" i="52" s="1"/>
  <c r="G173" i="49"/>
  <c r="G252" i="49" l="1"/>
  <c r="J252" i="49" s="1"/>
  <c r="E254" i="49"/>
  <c r="G254" i="49" s="1"/>
  <c r="L252" i="52"/>
  <c r="L2" i="52" s="1"/>
  <c r="D13" i="6" s="1"/>
  <c r="D16" i="6" s="1"/>
  <c r="D17" i="6" s="1"/>
  <c r="D18" i="6" l="1"/>
  <c r="D25" i="6" l="1"/>
  <c r="D24" i="6"/>
  <c r="I7" i="6" s="1"/>
</calcChain>
</file>

<file path=xl/sharedStrings.xml><?xml version="1.0" encoding="utf-8"?>
<sst xmlns="http://schemas.openxmlformats.org/spreadsheetml/2006/main" count="1732" uniqueCount="1575">
  <si>
    <t>List of worksheets</t>
  </si>
  <si>
    <t>Nr</t>
  </si>
  <si>
    <t>Name of the worksheet</t>
  </si>
  <si>
    <t>Title (EN)</t>
  </si>
  <si>
    <t>Intro</t>
  </si>
  <si>
    <t>Update</t>
  </si>
  <si>
    <t>Update list</t>
  </si>
  <si>
    <t>Aktualisierungsliste</t>
  </si>
  <si>
    <t>Liste des mises-à-jour</t>
  </si>
  <si>
    <t>list_of_sheets</t>
  </si>
  <si>
    <t>Liste der Arbeitsblätter</t>
  </si>
  <si>
    <t>Liste des feuilles de calculs</t>
  </si>
  <si>
    <t>Glossary</t>
  </si>
  <si>
    <t>Liabilities</t>
  </si>
  <si>
    <t>Description</t>
  </si>
  <si>
    <t>Exposure</t>
  </si>
  <si>
    <t>Comments</t>
  </si>
  <si>
    <t>CHF</t>
  </si>
  <si>
    <t>EUR</t>
  </si>
  <si>
    <t>GBP</t>
  </si>
  <si>
    <t>USD</t>
  </si>
  <si>
    <t>Value</t>
  </si>
  <si>
    <t>Private Equity</t>
  </si>
  <si>
    <t>Hedge funds</t>
  </si>
  <si>
    <t>Private equity</t>
  </si>
  <si>
    <t>JPY</t>
  </si>
  <si>
    <t>English</t>
  </si>
  <si>
    <t>Deutsch</t>
  </si>
  <si>
    <t>Français</t>
  </si>
  <si>
    <t>Leben</t>
  </si>
  <si>
    <t>Eingabe</t>
  </si>
  <si>
    <t>Explanations</t>
  </si>
  <si>
    <t>Nr.</t>
  </si>
  <si>
    <t>Datum</t>
  </si>
  <si>
    <t>Schaden</t>
  </si>
  <si>
    <t>Kranken</t>
  </si>
  <si>
    <t>Sprache auswählen; Choisir la langue; Select language</t>
  </si>
  <si>
    <t>Name der Versicherungsgesellschaft</t>
  </si>
  <si>
    <t>Muster-Gesellschaft</t>
  </si>
  <si>
    <t>Kontaktperson</t>
  </si>
  <si>
    <t>Parameters</t>
  </si>
  <si>
    <t>Life</t>
  </si>
  <si>
    <t>Health</t>
  </si>
  <si>
    <t>Input</t>
  </si>
  <si>
    <t>Vie</t>
  </si>
  <si>
    <t>Maladie</t>
  </si>
  <si>
    <t>Entrée</t>
  </si>
  <si>
    <t>Parameter</t>
  </si>
  <si>
    <t>Paramètres</t>
  </si>
  <si>
    <t>Nom de la société d'assurance</t>
  </si>
  <si>
    <t>Name of the insurance company</t>
  </si>
  <si>
    <t>Contact Person</t>
  </si>
  <si>
    <t>Personne de contact</t>
  </si>
  <si>
    <t>SST-Währung</t>
  </si>
  <si>
    <t>Hedge Funds</t>
  </si>
  <si>
    <t>Erklärungen</t>
  </si>
  <si>
    <t>Explications</t>
  </si>
  <si>
    <t>Bemerkungen</t>
  </si>
  <si>
    <t>Remarques</t>
  </si>
  <si>
    <t>Wert</t>
  </si>
  <si>
    <t>Valeur</t>
  </si>
  <si>
    <t>Exposition</t>
  </si>
  <si>
    <t>Mio.</t>
  </si>
  <si>
    <t>million</t>
  </si>
  <si>
    <t>Allgemeine Begriffe</t>
  </si>
  <si>
    <t>General terms</t>
  </si>
  <si>
    <t>Beschreibung</t>
  </si>
  <si>
    <t>basis points (bp)</t>
  </si>
  <si>
    <t>Basispunkte (bp)</t>
  </si>
  <si>
    <t>Points de base (bp)</t>
  </si>
  <si>
    <t>Hypotheken</t>
  </si>
  <si>
    <t>Immobilien</t>
  </si>
  <si>
    <t>Hypothèques</t>
  </si>
  <si>
    <t>Dommages</t>
  </si>
  <si>
    <t>Non Life</t>
  </si>
  <si>
    <t>Dieses SST-Template enthält Tabellenblätter mit verschiedenen Registerfarben. Es wird die folgende Farbenkonvention verwendet:</t>
  </si>
  <si>
    <t>Angaben</t>
  </si>
  <si>
    <t>Data</t>
  </si>
  <si>
    <t>Tabellenblätter mit Informationen und Parametern. Diese Tabellenblätter sind in der Regel nicht zu ändern.</t>
  </si>
  <si>
    <t>Données</t>
  </si>
  <si>
    <t>Tabellenblätter, die vom Versicherungsunternehmen auszufüllen sind.</t>
  </si>
  <si>
    <t>T.01.01</t>
  </si>
  <si>
    <t>T.01.03</t>
  </si>
  <si>
    <t>T.01.04</t>
  </si>
  <si>
    <t>T.01.05</t>
  </si>
  <si>
    <t>T.01.06</t>
  </si>
  <si>
    <t>T.01.07</t>
  </si>
  <si>
    <t>T.01.08</t>
  </si>
  <si>
    <t>T.01.09</t>
  </si>
  <si>
    <t>T.01.02</t>
  </si>
  <si>
    <t>T.02.01</t>
  </si>
  <si>
    <t>T.08.01</t>
  </si>
  <si>
    <t>T.02.02</t>
  </si>
  <si>
    <t>T.02.03</t>
  </si>
  <si>
    <t>T.02.04</t>
  </si>
  <si>
    <t>T.02.05</t>
  </si>
  <si>
    <t>T.02.06</t>
  </si>
  <si>
    <t>T.02.07</t>
  </si>
  <si>
    <t>T.02.08</t>
  </si>
  <si>
    <t>T.08.02</t>
  </si>
  <si>
    <t>T.08.03</t>
  </si>
  <si>
    <t>T.08.04</t>
  </si>
  <si>
    <t>T.08.05</t>
  </si>
  <si>
    <t>This SST-Template includes worksheets with different tab colors. The following color convention is used.</t>
  </si>
  <si>
    <t>Worksheets that are to be completed by the insurance company.</t>
  </si>
  <si>
    <t>Worksheets with information and parameters. As a rule these worksheets are not to be modified.</t>
  </si>
  <si>
    <t xml:space="preserve">Ce SST-Template contient des onglets avec différentes couleurs. La convention suivante s'applique: </t>
  </si>
  <si>
    <t>Onglets, que la société d'assurance doit compléter.</t>
  </si>
  <si>
    <t>Onglets avec informations et paramètres. En principe ces onglets ne doivent pas être modifiés.</t>
  </si>
  <si>
    <t>Input fields: In these cells insurance company specific information are to be entered.</t>
  </si>
  <si>
    <t>Champs de saisie: dans ces cellules les informations spécifiques à la société d'assurance doivent être entrées.</t>
  </si>
  <si>
    <t>T.01.10</t>
  </si>
  <si>
    <t>T.01.11</t>
  </si>
  <si>
    <t>T.01.12</t>
  </si>
  <si>
    <t>T.01.13</t>
  </si>
  <si>
    <t>T.01.14</t>
  </si>
  <si>
    <t>Branch</t>
  </si>
  <si>
    <t>Tabellenblatt</t>
  </si>
  <si>
    <t>Titel (DE)</t>
  </si>
  <si>
    <t>Titre (FR)</t>
  </si>
  <si>
    <t>Version vom</t>
  </si>
  <si>
    <t>Mortgages</t>
  </si>
  <si>
    <t>SST-Bilanz</t>
  </si>
  <si>
    <t>Beteiligungen: Quote &gt; 50 %</t>
  </si>
  <si>
    <t>Beteiligungen: Quote 20 % bis 50 %</t>
  </si>
  <si>
    <t>Kollektive Kapitalanlagen</t>
  </si>
  <si>
    <t>Anlagefonds: Immobilien</t>
  </si>
  <si>
    <t>Anlagefonds: Aktien</t>
  </si>
  <si>
    <t>Anlagefonds: Obligationen</t>
  </si>
  <si>
    <t>Anlagefonds: Geldmarkt</t>
  </si>
  <si>
    <t>Anlagefonds: Übrige</t>
  </si>
  <si>
    <t>Anlagefonds: Gemischt</t>
  </si>
  <si>
    <t>Alternative Anlagen</t>
  </si>
  <si>
    <t>Strukturierte Produkte</t>
  </si>
  <si>
    <t>Sonstige Kapitalanlagen</t>
  </si>
  <si>
    <t>Fondsanteilgebundene Lebensversicherung</t>
  </si>
  <si>
    <t>An interne Anlagebestände oder andere Bezugswerte gebundene Lebensversicherung</t>
  </si>
  <si>
    <t>Übrige Aktiven</t>
  </si>
  <si>
    <t>Total übrige Aktiven</t>
  </si>
  <si>
    <t>davon Einzelgeschäft</t>
  </si>
  <si>
    <t>davon Kollektivgeschäft</t>
  </si>
  <si>
    <t>Rückstellungen für vertragliche Überschussbeteiligungen (Leben): Brutto</t>
  </si>
  <si>
    <t>Rückstellungen für vertragliche Überschussbeteiligungen (Schaden): Brutto</t>
  </si>
  <si>
    <t>Rückstellungen für vertragliche Überschussbeteiligungen (Kranken): Brutto</t>
  </si>
  <si>
    <t>Total Fremdkapital</t>
  </si>
  <si>
    <t>Staffelrechnung</t>
  </si>
  <si>
    <t>in % der Total Aktiven</t>
  </si>
  <si>
    <t>1)</t>
  </si>
  <si>
    <t>1.1 Kapitalanlagen</t>
  </si>
  <si>
    <t>1.1 Investments</t>
  </si>
  <si>
    <t>2)</t>
  </si>
  <si>
    <t>1.1.1 Immobilien</t>
  </si>
  <si>
    <t xml:space="preserve">1.1.1 Real estate </t>
  </si>
  <si>
    <t>3)</t>
  </si>
  <si>
    <t>Wohnimmobilien: Inland</t>
  </si>
  <si>
    <t>Immeubles d'habitation: domestique</t>
  </si>
  <si>
    <t>Residential properties: domestic</t>
  </si>
  <si>
    <t>4)</t>
  </si>
  <si>
    <t>Wohnimmobilien Ausland</t>
  </si>
  <si>
    <t>Immeubles d'habitation: à l'étranger</t>
  </si>
  <si>
    <t>Residential properties: abroad</t>
  </si>
  <si>
    <t>5)</t>
  </si>
  <si>
    <t>Büro- und Verwaltungsbauten: Inland</t>
  </si>
  <si>
    <t>Bâtiments administratifs et à usage de bureaux: domestique</t>
  </si>
  <si>
    <t>Office and administration buildings: domestic</t>
  </si>
  <si>
    <t>6)</t>
  </si>
  <si>
    <t>Büro- und Verwaltungsbauten: Ausland</t>
  </si>
  <si>
    <t>Bâtiments administratifs et à usage de bureaux: à l'étranger</t>
  </si>
  <si>
    <t>Office and administration buildings: abroad</t>
  </si>
  <si>
    <t>7)</t>
  </si>
  <si>
    <t>Gemischtgenutzte Immobilien: Inland</t>
  </si>
  <si>
    <t>Immeubles avec utilisation mixte: domestique</t>
  </si>
  <si>
    <t>8)</t>
  </si>
  <si>
    <t>Angefangene Bauten: Inland</t>
  </si>
  <si>
    <t>Immeubles en construction: domestique</t>
  </si>
  <si>
    <t>Real estate under construction: domestic</t>
  </si>
  <si>
    <t>9)</t>
  </si>
  <si>
    <t>Bauland: Inland</t>
  </si>
  <si>
    <t>Terrain à construire: domestique</t>
  </si>
  <si>
    <t>Building land: domestic</t>
  </si>
  <si>
    <t>10)</t>
  </si>
  <si>
    <t>Diverse Konti</t>
  </si>
  <si>
    <t>Übrige Immobilien: Inland</t>
  </si>
  <si>
    <t>Autres immeubles: domestique</t>
  </si>
  <si>
    <t>Other real estate: domestic</t>
  </si>
  <si>
    <t>11)</t>
  </si>
  <si>
    <t>Übrige Immobilien: Ausland</t>
  </si>
  <si>
    <t>Autres immeubles: à l'étranger</t>
  </si>
  <si>
    <t>Other real estate: abroad</t>
  </si>
  <si>
    <t>12)</t>
  </si>
  <si>
    <t>1.1.2 Beteiligungen</t>
  </si>
  <si>
    <t xml:space="preserve">1.1.2 Participations </t>
  </si>
  <si>
    <t>1.1.2 Participations</t>
  </si>
  <si>
    <t>13)</t>
  </si>
  <si>
    <t>Participations: part &gt; 50%</t>
  </si>
  <si>
    <t>14)</t>
  </si>
  <si>
    <t>Beteiligungen an Versicherungsgesellschaften</t>
  </si>
  <si>
    <t>Participations dans des sociétés d'assurance</t>
  </si>
  <si>
    <t>15)</t>
  </si>
  <si>
    <t>Übrige Beteiligungen</t>
  </si>
  <si>
    <t>Autres participations</t>
  </si>
  <si>
    <t>16)</t>
  </si>
  <si>
    <t>17)</t>
  </si>
  <si>
    <t>18)</t>
  </si>
  <si>
    <t>AA- und höher</t>
  </si>
  <si>
    <t>A- bis und mit A+</t>
  </si>
  <si>
    <t>BBB- bis und mit BBB+</t>
  </si>
  <si>
    <t>tiefer als BBB- und kein Rating</t>
  </si>
  <si>
    <t>19)</t>
  </si>
  <si>
    <t>1.1.3 Festverzinsliche Wertpapiere</t>
  </si>
  <si>
    <t>1.1.3 Titres à revenu fixe</t>
  </si>
  <si>
    <t>20)</t>
  </si>
  <si>
    <t>Staats- und Zentralbankenanleihen</t>
  </si>
  <si>
    <t>21)</t>
  </si>
  <si>
    <t>22)</t>
  </si>
  <si>
    <t>davon andere öffentliche Körperschaften</t>
  </si>
  <si>
    <t>dont autres corporations de droit public</t>
  </si>
  <si>
    <t xml:space="preserve">of which other public-sector entities </t>
  </si>
  <si>
    <t>23)</t>
  </si>
  <si>
    <t>Unternehmensanleihen</t>
  </si>
  <si>
    <t>Emprunts d'entreprises</t>
  </si>
  <si>
    <t>Corporate bonds</t>
  </si>
  <si>
    <t>24)</t>
  </si>
  <si>
    <t>davon Banken und Effektenhändler</t>
  </si>
  <si>
    <t>dont banques et négociants en valeurs mobilières</t>
  </si>
  <si>
    <t>of which banks and securities dealers</t>
  </si>
  <si>
    <t>25)</t>
  </si>
  <si>
    <t>Pfandbriefanleihen / Covered Bonds</t>
  </si>
  <si>
    <t>Alle anderen Anleihen (Pfandbriefanleihen, Wandelanleihen, sonstige Anleihen)</t>
  </si>
  <si>
    <t>Lettres de gage / Covered Bonds</t>
  </si>
  <si>
    <t>Mortgage bonds / Covered bonds</t>
  </si>
  <si>
    <t>26)</t>
  </si>
  <si>
    <t>Wandelanleihen</t>
  </si>
  <si>
    <t>Emprunts convertibles</t>
  </si>
  <si>
    <t>Convertible bonds</t>
  </si>
  <si>
    <t>27)</t>
  </si>
  <si>
    <t>Sonstige Anleihen (inkl. Optionsanleihen, supranationale Anleihen)</t>
  </si>
  <si>
    <t>Other bonds (incl. warrant bonds, supranational bonds)</t>
  </si>
  <si>
    <t>28)</t>
  </si>
  <si>
    <t>1.1.4 Darlehen</t>
  </si>
  <si>
    <t>1.1.4 Prêts</t>
  </si>
  <si>
    <t>1.1.4 Loans</t>
  </si>
  <si>
    <t>29)</t>
  </si>
  <si>
    <t>Nachrangige Darlehen</t>
  </si>
  <si>
    <t>Prêts subordonnés</t>
  </si>
  <si>
    <t>Subordinated loans</t>
  </si>
  <si>
    <t>30)</t>
  </si>
  <si>
    <t>Policendarlehen</t>
  </si>
  <si>
    <t>Prêts sur police</t>
  </si>
  <si>
    <t>31)</t>
  </si>
  <si>
    <t>Sonstige Darlehen</t>
  </si>
  <si>
    <t>Prêts divers</t>
  </si>
  <si>
    <t>Other loans</t>
  </si>
  <si>
    <t>32)</t>
  </si>
  <si>
    <t>1.1.5 Hypotheken</t>
  </si>
  <si>
    <t>1.1.5 Hypothèques</t>
  </si>
  <si>
    <t>1.1.5 Mortgages</t>
  </si>
  <si>
    <t>33)</t>
  </si>
  <si>
    <t>Hypotheken bis 80 % des Verkehrswertes</t>
  </si>
  <si>
    <t>Hypothèques jusqu'à 80 % de la valeur vénale</t>
  </si>
  <si>
    <t xml:space="preserve">Mortgages up to 80% of market value </t>
  </si>
  <si>
    <t>34)</t>
  </si>
  <si>
    <t>35)</t>
  </si>
  <si>
    <t>36)</t>
  </si>
  <si>
    <t>Hypotheken mehr als 80 % des Verkehrswertes</t>
  </si>
  <si>
    <t>Hypothèques au-delà de 80 % de la valeur vénale</t>
  </si>
  <si>
    <t xml:space="preserve">Mortgages over 80% of market value </t>
  </si>
  <si>
    <t>37)</t>
  </si>
  <si>
    <t>38)</t>
  </si>
  <si>
    <t>39)</t>
  </si>
  <si>
    <t>1.1.6 Aktien</t>
  </si>
  <si>
    <t>1.1.6 Actions</t>
  </si>
  <si>
    <t>40)</t>
  </si>
  <si>
    <t>Aktien und ähnliche Wertschriften</t>
  </si>
  <si>
    <t>Actions et titres similaires</t>
  </si>
  <si>
    <t>Equities and similar securities</t>
  </si>
  <si>
    <t>41)</t>
  </si>
  <si>
    <t>Anlagen an Immobiliengesellschaften</t>
  </si>
  <si>
    <t>Placements dans des sociétés immobilières</t>
  </si>
  <si>
    <t>Investments in real estate companies</t>
  </si>
  <si>
    <t>42)</t>
  </si>
  <si>
    <t>43)</t>
  </si>
  <si>
    <t>1.1.7 Übrige Kapitalanlagen</t>
  </si>
  <si>
    <t>1.1.7 Other investments</t>
  </si>
  <si>
    <t>44)</t>
  </si>
  <si>
    <t>45)</t>
  </si>
  <si>
    <t>Fonds de placement: biens immobiliers</t>
  </si>
  <si>
    <t>Investment funds: real estate</t>
  </si>
  <si>
    <t>46)</t>
  </si>
  <si>
    <t>Fonds de placement: actions</t>
  </si>
  <si>
    <t>Investment funds: equities</t>
  </si>
  <si>
    <t>47)</t>
  </si>
  <si>
    <t>Fonds de placement: obligations</t>
  </si>
  <si>
    <t>Investment funds: bonds</t>
  </si>
  <si>
    <t>48)</t>
  </si>
  <si>
    <t>Fonds de placement: marché monétaire</t>
  </si>
  <si>
    <t>Investment funds: money market</t>
  </si>
  <si>
    <t>49)</t>
  </si>
  <si>
    <t>Fonds de placement: autres</t>
  </si>
  <si>
    <t>Investment funds: other</t>
  </si>
  <si>
    <t>50)</t>
  </si>
  <si>
    <t>Fonds de placement: mixtes</t>
  </si>
  <si>
    <t>Investment funds: mixed</t>
  </si>
  <si>
    <t>51)</t>
  </si>
  <si>
    <t>Placements alternatifs</t>
  </si>
  <si>
    <t>Alternative investments</t>
  </si>
  <si>
    <t>52)</t>
  </si>
  <si>
    <t>53)</t>
  </si>
  <si>
    <t>54)</t>
  </si>
  <si>
    <t>davon Partizipationen (Anteil &lt; 20%)</t>
  </si>
  <si>
    <t>dont participations (part &lt; 20%)</t>
  </si>
  <si>
    <t>of which participations (holding &lt; 20%)</t>
  </si>
  <si>
    <t>55)</t>
  </si>
  <si>
    <t>Other alternative investments</t>
  </si>
  <si>
    <t>56)</t>
  </si>
  <si>
    <t>57)</t>
  </si>
  <si>
    <t>58)</t>
  </si>
  <si>
    <t>59)</t>
  </si>
  <si>
    <t>Produits structurés</t>
  </si>
  <si>
    <t>Structured products</t>
  </si>
  <si>
    <t>60)</t>
  </si>
  <si>
    <t>Insurance-Linked Securities (z.B. Cat Bonds)</t>
  </si>
  <si>
    <t>Insurance linked securities (e.g. cat bonds)</t>
  </si>
  <si>
    <t>61)</t>
  </si>
  <si>
    <t>62)</t>
  </si>
  <si>
    <t>Other investments</t>
  </si>
  <si>
    <t>63)</t>
  </si>
  <si>
    <t>Verbriefte Forderungen</t>
  </si>
  <si>
    <t>Créances titrisées</t>
  </si>
  <si>
    <t>Securitized claims</t>
  </si>
  <si>
    <t>64)</t>
  </si>
  <si>
    <t>65)</t>
  </si>
  <si>
    <t>66)</t>
  </si>
  <si>
    <t>67)</t>
  </si>
  <si>
    <t>68)</t>
  </si>
  <si>
    <t>Andere Kapitalanlagen (Infrastrukturanlagen, Currency Overlay, u.a.)</t>
  </si>
  <si>
    <t xml:space="preserve">Other investments (investments in infrastructure, currency overlay, i.a.) </t>
  </si>
  <si>
    <t>69)</t>
  </si>
  <si>
    <t>1.2 Kapitalanlagen aus anteilgebundener Lebensversicherung</t>
  </si>
  <si>
    <t>1.2 Placements provenant de l'assurance sur la vie liée à des participations</t>
  </si>
  <si>
    <t>70)</t>
  </si>
  <si>
    <t>Assurance sur la vie liée à des parts de fonds de placement</t>
  </si>
  <si>
    <t>Unit-linked life insurance</t>
  </si>
  <si>
    <t>71)</t>
  </si>
  <si>
    <t>Assurance sur la vie liée à des fonds cantonnés ou à d’autres valeurs de référence</t>
  </si>
  <si>
    <t>Life insurance linked to internal investment holdings or other reference values</t>
  </si>
  <si>
    <t>72)</t>
  </si>
  <si>
    <t>Biens immobiliers</t>
  </si>
  <si>
    <t>73)</t>
  </si>
  <si>
    <t>Festverzinsliche Wertpapiere, Darlehen</t>
  </si>
  <si>
    <t>Titres à revenu fixe, prêts</t>
  </si>
  <si>
    <t>Fixed income securities, loans</t>
  </si>
  <si>
    <t>74)</t>
  </si>
  <si>
    <t>75)</t>
  </si>
  <si>
    <t>76)</t>
  </si>
  <si>
    <t>77)</t>
  </si>
  <si>
    <t>Übrige Anlagen</t>
  </si>
  <si>
    <t>Autres placements</t>
  </si>
  <si>
    <t>78)</t>
  </si>
  <si>
    <t>1.3 Forderungen aus derivativen Finanzinstrumenten</t>
  </si>
  <si>
    <t>1.3 Créances sur instruments financiers dérivés</t>
  </si>
  <si>
    <t>1.3 Receivables from derivative financial instruments</t>
  </si>
  <si>
    <t>79)</t>
  </si>
  <si>
    <t>Zinsrisikobezogene Instrumente</t>
  </si>
  <si>
    <t>Instruments liés au risque de taux d'intérêt</t>
  </si>
  <si>
    <t>Interest-risk-related instruments</t>
  </si>
  <si>
    <t>80)</t>
  </si>
  <si>
    <t>Währungsrisikobezogene Instrumente</t>
  </si>
  <si>
    <t>Instruments liés au risque de change</t>
  </si>
  <si>
    <t>Currency-risk-related instruments</t>
  </si>
  <si>
    <t>81)</t>
  </si>
  <si>
    <t>(Aktien-)Marktrisikobezogene Instrumente</t>
  </si>
  <si>
    <t>Instruments liés au risque de marché / des actions</t>
  </si>
  <si>
    <t>(Equity) Market-risk-related instruments</t>
  </si>
  <si>
    <t>82)</t>
  </si>
  <si>
    <t>Kreditrisikobezogene Instrumente</t>
  </si>
  <si>
    <t>Instruments liés au risque de crédit</t>
  </si>
  <si>
    <t>Credit-risk-related instruments</t>
  </si>
  <si>
    <t>83)</t>
  </si>
  <si>
    <t>Versicherungsrisikobezogene Instrumente (z.B. Cat Derivate)</t>
  </si>
  <si>
    <t>Instruments liés au risque d'assurance (p. ex. Cat Derivate)</t>
  </si>
  <si>
    <t>Insurance-risk-related instruments (e.g. cat derivative)</t>
  </si>
  <si>
    <t>84)</t>
  </si>
  <si>
    <t>85)</t>
  </si>
  <si>
    <t>Total Kapitalanlagen</t>
  </si>
  <si>
    <t>Total des placements de capitaux</t>
  </si>
  <si>
    <t>Total investments</t>
  </si>
  <si>
    <t>86)</t>
  </si>
  <si>
    <t>Autres actifs</t>
  </si>
  <si>
    <t>Other assets</t>
  </si>
  <si>
    <t>87)</t>
  </si>
  <si>
    <t>1.4 Depotforderungen aus übernommener Rückversicherung</t>
  </si>
  <si>
    <t>1.4 Dépôts découlant de la réassurance acceptée</t>
  </si>
  <si>
    <t xml:space="preserve">1.4 Deposits made under assumed reinsurance contracts </t>
  </si>
  <si>
    <t>88)</t>
  </si>
  <si>
    <t>1.5 Flüssige Mittel</t>
  </si>
  <si>
    <t>1.5 Liquidités</t>
  </si>
  <si>
    <t>1.5 Cash and cash equivalents</t>
  </si>
  <si>
    <t>89)</t>
  </si>
  <si>
    <t>Bargeld</t>
  </si>
  <si>
    <t>Numéraire</t>
  </si>
  <si>
    <t>Cash</t>
  </si>
  <si>
    <t>90)</t>
  </si>
  <si>
    <t>Bankguthaben</t>
  </si>
  <si>
    <t xml:space="preserve">Avoirs sur comptes bancaires </t>
  </si>
  <si>
    <t>Bank credit balance</t>
  </si>
  <si>
    <t>91)</t>
  </si>
  <si>
    <t>Forderungen aus Geldmarktanlagen</t>
  </si>
  <si>
    <t>Créances sur le marché monétaire</t>
  </si>
  <si>
    <t>Receivables from money market investments</t>
  </si>
  <si>
    <t>92)</t>
  </si>
  <si>
    <t>1.6 Anteil versicherungstechnische Rückstellungen aus Rückversicherung</t>
  </si>
  <si>
    <t>1.6 Part des réassureurs dans les provisions techniques</t>
  </si>
  <si>
    <t>1.6 Share of technical provisions from reinsurance</t>
  </si>
  <si>
    <t>93)</t>
  </si>
  <si>
    <t>94)</t>
  </si>
  <si>
    <t>davon Anteil Rückversicherer (Leben) am Überschussfonds</t>
  </si>
  <si>
    <t>dont part des réassureurs (vie) dans le fonds d'excédents</t>
  </si>
  <si>
    <t>of which share of reinsurers (life) to the surplus funds</t>
  </si>
  <si>
    <t>95)</t>
  </si>
  <si>
    <t>96)</t>
  </si>
  <si>
    <t>davon Anteil Rückversicherer (Schaden) am Überschussfonds</t>
  </si>
  <si>
    <t>dont part des réassureurs (dommage) dans le fonds d'excédents</t>
  </si>
  <si>
    <t>of which share of reinsurers (casuality) to the surplus funds</t>
  </si>
  <si>
    <t>97)</t>
  </si>
  <si>
    <t>98)</t>
  </si>
  <si>
    <t>davon Anteil Rückversicherer (Kranken) am Überschussfonds</t>
  </si>
  <si>
    <t>dont part des réassureurs (maladie) dans le fonds d'excédents</t>
  </si>
  <si>
    <t>of which share of reinsurers (health) to the surplus funds</t>
  </si>
  <si>
    <t>99)</t>
  </si>
  <si>
    <t>100)</t>
  </si>
  <si>
    <t>101)</t>
  </si>
  <si>
    <t>102)</t>
  </si>
  <si>
    <t>103)</t>
  </si>
  <si>
    <t>104)</t>
  </si>
  <si>
    <t>105)</t>
  </si>
  <si>
    <t>106)</t>
  </si>
  <si>
    <t>1.7 Sachanlagen</t>
  </si>
  <si>
    <t>1.7 Immobilisations corporelles</t>
  </si>
  <si>
    <t>107)</t>
  </si>
  <si>
    <t>Betriebsliegenschaften</t>
  </si>
  <si>
    <t>Immeubles d'exploitation</t>
  </si>
  <si>
    <t>Commercial real estate</t>
  </si>
  <si>
    <t>108)</t>
  </si>
  <si>
    <t>Sonstige Sachanlagen</t>
  </si>
  <si>
    <t>Autres immobilisations corporelles</t>
  </si>
  <si>
    <t>109)</t>
  </si>
  <si>
    <t>1.8 Aktivierte Abschlusskosten</t>
  </si>
  <si>
    <t>1.8 Frais d'acquisition activés</t>
  </si>
  <si>
    <t>1.8 Deferred acquisition costs</t>
  </si>
  <si>
    <t>110)</t>
  </si>
  <si>
    <t>1.9 Immaterielle Vermögenswerte</t>
  </si>
  <si>
    <t>1.9 Intangible assets</t>
  </si>
  <si>
    <t>111)</t>
  </si>
  <si>
    <t>1.10 Forderungen aus dem Versicherungsgeschäft</t>
  </si>
  <si>
    <t>1.10 Créances nées d'opérations d'assurance</t>
  </si>
  <si>
    <t>112)</t>
  </si>
  <si>
    <t>Forderungen gegenüber Versicherungsnehmern und Agenten</t>
  </si>
  <si>
    <t>Créances sur les preneurs d'assurance et agents</t>
  </si>
  <si>
    <t>113)</t>
  </si>
  <si>
    <t>114)</t>
  </si>
  <si>
    <t>115)</t>
  </si>
  <si>
    <t>116)</t>
  </si>
  <si>
    <t>117)</t>
  </si>
  <si>
    <t>davon Forderungen gegenüber Beteiligungen</t>
  </si>
  <si>
    <t>dont créances sur des participations</t>
  </si>
  <si>
    <t>of which receivables vis-à-vis participations</t>
  </si>
  <si>
    <t>118)</t>
  </si>
  <si>
    <t>1.11 Übrige Forderungen</t>
  </si>
  <si>
    <t>1.11 Autres créances</t>
  </si>
  <si>
    <t>1.11 Other receivables</t>
  </si>
  <si>
    <t>119)</t>
  </si>
  <si>
    <t>1.12 Sonstige Aktiven</t>
  </si>
  <si>
    <t>1.12 Autres actifs</t>
  </si>
  <si>
    <t>1.12 Other assets</t>
  </si>
  <si>
    <t>120)</t>
  </si>
  <si>
    <t>Erhaltene Garantien</t>
  </si>
  <si>
    <t>Garanties reçues</t>
  </si>
  <si>
    <t>Guarantees received</t>
  </si>
  <si>
    <t>121)</t>
  </si>
  <si>
    <t>Sonstige Vermögenswerte</t>
  </si>
  <si>
    <t>122)</t>
  </si>
  <si>
    <t>1.13 Nicht einbezahltes Grundkapital</t>
  </si>
  <si>
    <t>1.13 Capital non encore libéré</t>
  </si>
  <si>
    <t>1.13 Unpaid share capital</t>
  </si>
  <si>
    <t>123)</t>
  </si>
  <si>
    <t>1.14 Aktive Rechnungsabgrenzungen</t>
  </si>
  <si>
    <t>1.14 Comptes de régularisation</t>
  </si>
  <si>
    <t>124)</t>
  </si>
  <si>
    <t>Vorausbezahlte Versicherungsleistungen</t>
  </si>
  <si>
    <t>Prestations d'assurance versées à l'avance</t>
  </si>
  <si>
    <t>Pre-paid insurance benefits</t>
  </si>
  <si>
    <t>125)</t>
  </si>
  <si>
    <t>Abgegrenzte Zinsen und Mieten</t>
  </si>
  <si>
    <t>Intérêts et loyers acquis non échus</t>
  </si>
  <si>
    <t>Accrued interest and rent</t>
  </si>
  <si>
    <t>126)</t>
  </si>
  <si>
    <t>Latente Steuerforderungen</t>
  </si>
  <si>
    <t>Actifs d'impôts différés</t>
  </si>
  <si>
    <t>Deferred tax assets</t>
  </si>
  <si>
    <t>127)</t>
  </si>
  <si>
    <t>Sonstige Rechnungsabgrenzungsposten</t>
  </si>
  <si>
    <t>Autres comptes de régularisation</t>
  </si>
  <si>
    <t>Other accrued expenses and deferred income</t>
  </si>
  <si>
    <t>128)</t>
  </si>
  <si>
    <t>129)</t>
  </si>
  <si>
    <t>1.15 Total Aktiven</t>
  </si>
  <si>
    <t>1.15 Total Assets</t>
  </si>
  <si>
    <t>130)</t>
  </si>
  <si>
    <t>Fremdkapital</t>
  </si>
  <si>
    <t>Capital étranger</t>
  </si>
  <si>
    <t>131)</t>
  </si>
  <si>
    <t>2.1 Versicherungstechnische Rückstellungen: Brutto</t>
  </si>
  <si>
    <t>2.1 Provisions techniques: brutes</t>
  </si>
  <si>
    <t>2.1 Technical provisions: gross</t>
  </si>
  <si>
    <t>132)</t>
  </si>
  <si>
    <t>133)</t>
  </si>
  <si>
    <t>134)</t>
  </si>
  <si>
    <t>dont affaires individuelles</t>
  </si>
  <si>
    <t>of which individual business</t>
  </si>
  <si>
    <t>135)</t>
  </si>
  <si>
    <t>dont affaires collectives</t>
  </si>
  <si>
    <t>of which group business</t>
  </si>
  <si>
    <t>136)</t>
  </si>
  <si>
    <t>Schwankungsrückstellungen und weitere statutarische Reserven (Leben): Brutto</t>
  </si>
  <si>
    <t>Provisions de fluctuation et autres réserves statutaires (vie): brutes</t>
  </si>
  <si>
    <t>137)</t>
  </si>
  <si>
    <t>138)</t>
  </si>
  <si>
    <t>davon Zillmerabschlag (Leben): Brutto</t>
  </si>
  <si>
    <t>dont déduction de Zillmer (vie): brute</t>
  </si>
  <si>
    <t>of which Zillmer discount (life): gross</t>
  </si>
  <si>
    <t>139)</t>
  </si>
  <si>
    <t>Provisions pour parts d'excédents contractuels (vie): brutes</t>
  </si>
  <si>
    <t>Reserves for contractual profit participation (life): gross</t>
  </si>
  <si>
    <t>140)</t>
  </si>
  <si>
    <t>Rückstellungen für Überschussfonds (Leben): Brutto</t>
  </si>
  <si>
    <t>Provisions pour fonds d'excédents (vie): brutes</t>
  </si>
  <si>
    <t>Reserves for surplus funds (life): gross</t>
  </si>
  <si>
    <t>141)</t>
  </si>
  <si>
    <t>142)</t>
  </si>
  <si>
    <t>Best estimate of insurance liabilities (non-life): gross</t>
  </si>
  <si>
    <t>143)</t>
  </si>
  <si>
    <t>of which best estimate of insurance liabilities of the UVG portfolio</t>
  </si>
  <si>
    <t>144)</t>
  </si>
  <si>
    <t>Schwankungsrückstellungen und weitere statutarische Reserven (Schaden): Brutto</t>
  </si>
  <si>
    <t>Provisions de fluctuation et autres réserves statutaires (dommage): brutes</t>
  </si>
  <si>
    <t>145)</t>
  </si>
  <si>
    <t>146)</t>
  </si>
  <si>
    <t>Provisions pour parts d'excédents contractuels (dommage): brutes</t>
  </si>
  <si>
    <t>Reserves for contractual profit participation (non-life): gross</t>
  </si>
  <si>
    <t>Rückstellungen für Überschussfonds (Schaden): Brutto</t>
  </si>
  <si>
    <t>Provisions pour fonds d'excédents (dommage): brutes</t>
  </si>
  <si>
    <t>Reserves for surplus funds (non-life): gross</t>
  </si>
  <si>
    <t>148)</t>
  </si>
  <si>
    <t>149)</t>
  </si>
  <si>
    <t>Best estimate of insurance liabilities (health): gross</t>
  </si>
  <si>
    <t>150)</t>
  </si>
  <si>
    <t>151)</t>
  </si>
  <si>
    <t>Schwankungsrückstellungen und weitere statutarische Reserven (Kranken): Brutto</t>
  </si>
  <si>
    <t>152)</t>
  </si>
  <si>
    <t>153)</t>
  </si>
  <si>
    <t>Provisions pour parts d'excédents contractuels (maladie): brutes</t>
  </si>
  <si>
    <t>Reserves for contractual profit participation (health): gross</t>
  </si>
  <si>
    <t>154)</t>
  </si>
  <si>
    <t>Rückstellungen für Überschussfonds (Kranken): Brutto</t>
  </si>
  <si>
    <t>Provisions pour fonds d'excédents (maladie): brutes</t>
  </si>
  <si>
    <t>Reserves for surplus funds (health): gross</t>
  </si>
  <si>
    <t>155)</t>
  </si>
  <si>
    <t>Direktversicherung: Sonstiges Geschäft</t>
  </si>
  <si>
    <t>156)</t>
  </si>
  <si>
    <t>157)</t>
  </si>
  <si>
    <t>Aktive Rückversicherung: Lebensversicherungsgeschäft (ohne ALV)</t>
  </si>
  <si>
    <t>Aktive Rückversicherung: Schadenversicherungsgeschäft</t>
  </si>
  <si>
    <t>Réassurance active: assurance dommages</t>
  </si>
  <si>
    <t>159)</t>
  </si>
  <si>
    <t>Aktive Rückversicherung: Krankenversicherungsgeschäft</t>
  </si>
  <si>
    <t>Réassurance active: assurance maladie</t>
  </si>
  <si>
    <t>160)</t>
  </si>
  <si>
    <t>Aktive Rückversicherung: Sonstiges Geschäft</t>
  </si>
  <si>
    <t>Réassurance active: autres affaires</t>
  </si>
  <si>
    <t>161)</t>
  </si>
  <si>
    <t>2.2 Versicherungstechnische Rückstellungen für anteilgebundene Lebensversicherung: Brutto</t>
  </si>
  <si>
    <t>2.2 Provisions techniques de l'assurance sur la vie liée à des participations: brutes</t>
  </si>
  <si>
    <t>162)</t>
  </si>
  <si>
    <t>Fondsanteilgebundene Lebensversicherung (A 2.1 - A 2.3 &amp; A 6.1)</t>
  </si>
  <si>
    <t>Assurance de vie liée à des fonds de placement (A 2.1 - A 2.3 et A 6.1)</t>
  </si>
  <si>
    <t>Unit-linked life insurance (A 2.1 - A 2.3 et A 6.1)</t>
  </si>
  <si>
    <t>163)</t>
  </si>
  <si>
    <t>davon Optionen und Garantien</t>
  </si>
  <si>
    <t>dont options et garanties</t>
  </si>
  <si>
    <t>of which options and guarantees</t>
  </si>
  <si>
    <t>164)</t>
  </si>
  <si>
    <t>An interne Anlagebestände oder andere Bezugswerte gebundene Lebensversicherung: Brutto (A 2.4 - A 2.6 &amp; A 6.2)</t>
  </si>
  <si>
    <t>Assurance de vie liée à des fonds cantonnés ou à d'autres valeurs de référence: brutes (A 2.4 - A 2.6 &amp; A 6.2)</t>
  </si>
  <si>
    <t>Life insurance linked to internal investment positions and other reference values (A 2.4 - A 2.6 &amp; A 6.2)</t>
  </si>
  <si>
    <t>165)</t>
  </si>
  <si>
    <t>166)</t>
  </si>
  <si>
    <t>Aktive Rückversicherung: Anteilgebundenes Lebensversicherungsgeschäft</t>
  </si>
  <si>
    <t>Réassurance active: Assurance sur la vie liée à des participations - Affaires</t>
  </si>
  <si>
    <t>167)</t>
  </si>
  <si>
    <t>2.3 Nichtversicherungstechnische Rückstellungen</t>
  </si>
  <si>
    <t>2.3 Provisions non techniques</t>
  </si>
  <si>
    <t>2.3 Non-technical provisions</t>
  </si>
  <si>
    <t>168)</t>
  </si>
  <si>
    <t>Rückstellungen für Personalvorsorge</t>
  </si>
  <si>
    <t>Provisions pour la prévoyance en faveur du personnel</t>
  </si>
  <si>
    <t>Reserves for employee benefits</t>
  </si>
  <si>
    <t>169)</t>
  </si>
  <si>
    <t xml:space="preserve">Finanzielle Rückstellungen </t>
  </si>
  <si>
    <t>Provisions financières</t>
  </si>
  <si>
    <t>Financial provisions</t>
  </si>
  <si>
    <t>170)</t>
  </si>
  <si>
    <t xml:space="preserve">Sonstige Rückstellungen </t>
  </si>
  <si>
    <t>Autres provisions</t>
  </si>
  <si>
    <t>Other provisions</t>
  </si>
  <si>
    <t>171)</t>
  </si>
  <si>
    <t>2.4 Verzinsliche Verbindlichkeiten</t>
  </si>
  <si>
    <t>2.4 Dettes liées à des instruments de taux</t>
  </si>
  <si>
    <t>2.4 Interest-bearing liabilities</t>
  </si>
  <si>
    <t>172)</t>
  </si>
  <si>
    <t>2.5. Verbindlichkeiten aus derivativen Finanzinstrumenten</t>
  </si>
  <si>
    <t>2.5 Liabilities from derivative financial instruments</t>
  </si>
  <si>
    <t>173)</t>
  </si>
  <si>
    <t>174)</t>
  </si>
  <si>
    <t>175)</t>
  </si>
  <si>
    <t>176)</t>
  </si>
  <si>
    <t>177)</t>
  </si>
  <si>
    <t>Versicherungsbezogene Instrumente (z.B. Cat Derivate)</t>
  </si>
  <si>
    <t>Insurance-risk-related instruments  (e.g. cat derivative)</t>
  </si>
  <si>
    <t>178)</t>
  </si>
  <si>
    <t>179)</t>
  </si>
  <si>
    <t>2.6 Depotverbindlichkeiten aus abgegebener Rückversicherung</t>
  </si>
  <si>
    <t>2.6 Dépôts résultant de la réassurance cédée</t>
  </si>
  <si>
    <t>180)</t>
  </si>
  <si>
    <t>2.7 Verbindlichkeiten aus dem Versicherungsgeschäft</t>
  </si>
  <si>
    <t>2.7 Dettes nées d'opérations d'assurance</t>
  </si>
  <si>
    <t>2.7 Liabilities from insurance business</t>
  </si>
  <si>
    <t>181)</t>
  </si>
  <si>
    <t>182)</t>
  </si>
  <si>
    <t>Sonstige Depotverbindlichkeiten</t>
  </si>
  <si>
    <t>Autres dépôts reçus de réassureurs</t>
  </si>
  <si>
    <t>Other deposit liabilities</t>
  </si>
  <si>
    <t>183)</t>
  </si>
  <si>
    <t>Sonstige Verbindlichkeiten aus dem Versicherungsgeschäft</t>
  </si>
  <si>
    <t>Autres dettes nées d'opérations d'assurance</t>
  </si>
  <si>
    <t>Other liabilities from insurance business</t>
  </si>
  <si>
    <t>184)</t>
  </si>
  <si>
    <t>2.8 Sonstige Passiven</t>
  </si>
  <si>
    <t>2.8 Autres passifs</t>
  </si>
  <si>
    <t>2.8 Other liabilities</t>
  </si>
  <si>
    <t>185)</t>
  </si>
  <si>
    <t>Gegebene Garantien, Bürgschaften</t>
  </si>
  <si>
    <t>Garanties données, cautionnements</t>
  </si>
  <si>
    <t>Guarantees given, sureties</t>
  </si>
  <si>
    <t>186)</t>
  </si>
  <si>
    <t>Sonstige Verbindlichkeiten</t>
  </si>
  <si>
    <t>Dettes diverses</t>
  </si>
  <si>
    <t>Other liabilities</t>
  </si>
  <si>
    <t>187)</t>
  </si>
  <si>
    <t>188)</t>
  </si>
  <si>
    <t xml:space="preserve">Autres postes du compte de régularisation </t>
  </si>
  <si>
    <t>189)</t>
  </si>
  <si>
    <t>2.10 Nachrangige Verbindlichkeiten</t>
  </si>
  <si>
    <t>2.10 Dettes subordonnées</t>
  </si>
  <si>
    <t>190)</t>
  </si>
  <si>
    <t>Unbefristete Anleihen und Darlehen mit Eigenkapitalcharakter</t>
  </si>
  <si>
    <t>Emprunts et prêts à caractère de fonds propres, à durée indéterminée</t>
  </si>
  <si>
    <t>191)</t>
  </si>
  <si>
    <t>Unbefristete sonstige Verbindlichkeiten mit Eigenkapitalcharakter</t>
  </si>
  <si>
    <t>192)</t>
  </si>
  <si>
    <t>Anleihen, Darlehen und sonstige Verbindlichkeiten, die zwingend in Eigenkapital gewandelt werden müssen</t>
  </si>
  <si>
    <t>Emprunts, prêts et autres dettes devant obligatoirement être convertis en fonds propres</t>
  </si>
  <si>
    <t>Bonds, loans and other liabilities that must be converted into equity capital</t>
  </si>
  <si>
    <t>193)</t>
  </si>
  <si>
    <t>Anleihen und Darlehen mit Eigenkapitalcharakter mit fester Laufzeit</t>
  </si>
  <si>
    <t>Emprunts et prêts à caractère de fonds propres, à durée déterminée</t>
  </si>
  <si>
    <t>Fixed-term bonds and loans with characteristics of equity</t>
  </si>
  <si>
    <t>194)</t>
  </si>
  <si>
    <t>Sonstige Verbindlichkeiten mit Eigenkapitalcharakter mit fester Laufzeit</t>
  </si>
  <si>
    <t>Autres dettes à caractère de fonds propres, à durée déterminée</t>
  </si>
  <si>
    <t>Fixed-term other liabilities with characteristics of equity</t>
  </si>
  <si>
    <t>195)</t>
  </si>
  <si>
    <t>Total capital étranger</t>
  </si>
  <si>
    <t>Total liabilities</t>
  </si>
  <si>
    <t>196)</t>
  </si>
  <si>
    <t>Differenz</t>
  </si>
  <si>
    <t>Différence</t>
  </si>
  <si>
    <t>Difference</t>
  </si>
  <si>
    <t>Es gibt zwei mögliche Varianten von Umlegungen:</t>
  </si>
  <si>
    <r>
      <t xml:space="preserve">Beispiel für </t>
    </r>
    <r>
      <rPr>
        <b/>
        <sz val="11"/>
        <rFont val="Arial"/>
        <family val="2"/>
      </rPr>
      <t>Variante 1</t>
    </r>
    <r>
      <rPr>
        <sz val="11"/>
        <rFont val="Arial"/>
        <family val="2"/>
      </rPr>
      <t xml:space="preserve">: Umlegung einer Bilanzposition auf </t>
    </r>
    <r>
      <rPr>
        <u/>
        <sz val="11"/>
        <rFont val="Arial"/>
        <family val="2"/>
      </rPr>
      <t>eine</t>
    </r>
    <r>
      <rPr>
        <sz val="11"/>
        <rFont val="Arial"/>
        <family val="2"/>
      </rPr>
      <t xml:space="preserve"> andere Bilanzposition (automatisiert und daher gegenüber Variante 2 zu bevorzugen)</t>
    </r>
  </si>
  <si>
    <t>"Ein Teil der aktivierten Abschlusskosten soll ins Deckungskapital übernommen werden."</t>
  </si>
  <si>
    <t>F</t>
  </si>
  <si>
    <t>G</t>
  </si>
  <si>
    <t>H</t>
  </si>
  <si>
    <t>Versicherungsverpflichtungen (brutto)</t>
  </si>
  <si>
    <r>
      <t xml:space="preserve">Beispiel für </t>
    </r>
    <r>
      <rPr>
        <b/>
        <sz val="11"/>
        <rFont val="Arial"/>
        <family val="2"/>
      </rPr>
      <t>Variante 2</t>
    </r>
    <r>
      <rPr>
        <sz val="11"/>
        <rFont val="Arial"/>
        <family val="2"/>
      </rPr>
      <t xml:space="preserve">: Umlegung einer Bilanzposition auf </t>
    </r>
    <r>
      <rPr>
        <u/>
        <sz val="11"/>
        <rFont val="Arial"/>
        <family val="2"/>
      </rPr>
      <t>mehrere</t>
    </r>
    <r>
      <rPr>
        <sz val="11"/>
        <rFont val="Arial"/>
        <family val="2"/>
      </rPr>
      <t xml:space="preserve"> andere Bilanzpositionen (nur für komplexe Umlegungen!)</t>
    </r>
  </si>
  <si>
    <t>I</t>
  </si>
  <si>
    <t>J</t>
  </si>
  <si>
    <t>K</t>
  </si>
  <si>
    <t>Kapitalanlagen für Rechnung und Risiko von Inhabern von Lebensversicherungen (ohne «Separate Accounts»)</t>
  </si>
  <si>
    <t>Spalte B</t>
  </si>
  <si>
    <t>Referenzierung der Zellen mittels Zeilennummer.</t>
  </si>
  <si>
    <t>Spalte C</t>
  </si>
  <si>
    <t>Berücksichtigung des Vorzeichens: + für Aktiven und - für Passiven</t>
  </si>
  <si>
    <t>Spalte G</t>
  </si>
  <si>
    <t>In der Spalte G wird die Zeilennummer der Zelle angegeben, in welche eine Bilanzposition ganz oder teilweise umgelegt werden soll.</t>
  </si>
  <si>
    <t>Spalte H</t>
  </si>
  <si>
    <t>Spalte K</t>
  </si>
  <si>
    <r>
      <t xml:space="preserve">Die Spalte K ist zu benützen, wenn eine Bilanzposition auf </t>
    </r>
    <r>
      <rPr>
        <u/>
        <sz val="11"/>
        <rFont val="Arial"/>
        <family val="2"/>
      </rPr>
      <t>mehrere</t>
    </r>
    <r>
      <rPr>
        <sz val="11"/>
        <rFont val="Arial"/>
        <family val="2"/>
      </rPr>
      <t xml:space="preserve"> neue statutarische Positionen aufgegliedert werden soll. In diesem Fall ist im SST-Bericht zusätzlich detailliert zu beschreiben, wie die Aufgliederung erfolgte.</t>
    </r>
  </si>
  <si>
    <t>Verwendete Farben</t>
  </si>
  <si>
    <t>grün</t>
  </si>
  <si>
    <t>Richtige Referenzierung</t>
  </si>
  <si>
    <t>gelb</t>
  </si>
  <si>
    <t>Fehlende Referenzierung</t>
  </si>
  <si>
    <t>blau</t>
  </si>
  <si>
    <t>Wert angegeben</t>
  </si>
  <si>
    <t>REF</t>
  </si>
  <si>
    <t>Vorzeichen</t>
  </si>
  <si>
    <t>T.01.15</t>
  </si>
  <si>
    <t>Seed Nummer</t>
  </si>
  <si>
    <t>Seed Number</t>
  </si>
  <si>
    <t>Seed number</t>
  </si>
  <si>
    <t>Bilan SST</t>
  </si>
  <si>
    <t>SST Balance sheet</t>
  </si>
  <si>
    <t>Instructions_Stat_SSTBalance</t>
  </si>
  <si>
    <t>T.01.16</t>
  </si>
  <si>
    <t>Sparte</t>
  </si>
  <si>
    <t>Branche</t>
  </si>
  <si>
    <t>T.08.06</t>
  </si>
  <si>
    <t>Total other assets</t>
  </si>
  <si>
    <t>Differenzen aufgrund des veränderten Stichtages</t>
  </si>
  <si>
    <t>Equated account</t>
  </si>
  <si>
    <t>Calcul échelonné</t>
  </si>
  <si>
    <t>Différence due au changement de la date de référence</t>
  </si>
  <si>
    <t>Differences due to the change of the reference date</t>
  </si>
  <si>
    <t>en % du total des actives</t>
  </si>
  <si>
    <t>in % of total assets</t>
  </si>
  <si>
    <t>Participations: part 20% à 50%</t>
  </si>
  <si>
    <t>All other investments (mortgage bonds, convertible bonds, other bonds)</t>
  </si>
  <si>
    <t>Tous les autres placements (lettres de gage, emprunts convertibles, autres placements)</t>
  </si>
  <si>
    <t>Rück</t>
  </si>
  <si>
    <t>Réassurance</t>
  </si>
  <si>
    <t>Reinsurance</t>
  </si>
  <si>
    <t>T.01.17</t>
  </si>
  <si>
    <t>T.01.18</t>
  </si>
  <si>
    <t>T.01.19</t>
  </si>
  <si>
    <t>Signe</t>
  </si>
  <si>
    <t>Sign</t>
  </si>
  <si>
    <t>Zwischenspalte Aktiven und Passiven stimmen noch nicht überein</t>
  </si>
  <si>
    <t>Weitere Allokationen Müssen sich gegenseitig kompensieren. Zu benützen, wenn Spalten E und F nicht genügen. Bitte im SST-Bericht begründen.</t>
  </si>
  <si>
    <t xml:space="preserve">Statutarischer Bilanzwert nach Allokation </t>
  </si>
  <si>
    <t>Allokation REF (Hier Zeilenref angeben, auf die alloziert werden soll.)</t>
  </si>
  <si>
    <t>Allokation WERT (Umzulegender Anteil von Spalte F)</t>
  </si>
  <si>
    <t>Autres allocations. Doivent se compenser mutuellement. A utiliser dans le cas où les colonnes E et F ne suffisent pas. Svp expliquer dans le rapport SST</t>
  </si>
  <si>
    <t>Valeur statutaire après allocation</t>
  </si>
  <si>
    <t>Allocation VALEUR (quote-part de la colonne F qui doit être repartie)</t>
  </si>
  <si>
    <t>Allocation REF (indiquer la ligne de référence)</t>
  </si>
  <si>
    <t>Allocation REF (indicate the reference line)</t>
  </si>
  <si>
    <t>Allocation VALUE (share of column F that has to be allocated)</t>
  </si>
  <si>
    <t>Inter-colonne Actifs et passifs ne correspondent pas encore</t>
  </si>
  <si>
    <t>Intermediate column Assets and liabilities do not correspond yet</t>
  </si>
  <si>
    <t>Other allocations. Have to compensate each-other. To use in the case columns E and F are not sufficient. Please explain in the SST report.</t>
  </si>
  <si>
    <t>Statutory value after allocation</t>
  </si>
  <si>
    <t xml:space="preserve">Statutarischer Wert  </t>
  </si>
  <si>
    <t xml:space="preserve">Valeur statutaire  </t>
  </si>
  <si>
    <t xml:space="preserve">Statutory value  </t>
  </si>
  <si>
    <t>Short cut</t>
  </si>
  <si>
    <t>T.02.09</t>
  </si>
  <si>
    <t>Abkürzung</t>
  </si>
  <si>
    <t>Abbréviation</t>
  </si>
  <si>
    <t>Name des Outputfiles</t>
  </si>
  <si>
    <t>Nom du fichier de sortie</t>
  </si>
  <si>
    <t>Output file name</t>
  </si>
  <si>
    <t>Mindestbetrag</t>
  </si>
  <si>
    <t>Hedgefonds</t>
  </si>
  <si>
    <t>Real estate</t>
  </si>
  <si>
    <t>Glossar Deutsch - Französisch - Englisch</t>
  </si>
  <si>
    <t>Glossaire allemand - français - anglais</t>
  </si>
  <si>
    <t>Glossary German - French - English</t>
  </si>
  <si>
    <t>Best Estimate der Versicherungsverpflichtungen (Leben): Brutto</t>
  </si>
  <si>
    <t>Best Estimate der Versicherungsverpflichtungen (Schaden): Brutto</t>
  </si>
  <si>
    <t>Best Estimate der Versicherungsverpflichtungen (Kranken): Brutto</t>
  </si>
  <si>
    <t>Best Estimate der Langzeitverpflichtungen (Kranken): Brutto</t>
  </si>
  <si>
    <t>davon Best Estimate der Verpflichtungen des UVG-Bestandes: Brutto</t>
  </si>
  <si>
    <t>T.08.07</t>
  </si>
  <si>
    <t>T.08.08</t>
  </si>
  <si>
    <t>T.08.09</t>
  </si>
  <si>
    <t>T.08.10</t>
  </si>
  <si>
    <t>T.08.11</t>
  </si>
  <si>
    <t>T.08.12</t>
  </si>
  <si>
    <t>T.07.01</t>
  </si>
  <si>
    <t>T.07.02</t>
  </si>
  <si>
    <t>T.07.03</t>
  </si>
  <si>
    <t>T.07.04</t>
  </si>
  <si>
    <t>T.07.05</t>
  </si>
  <si>
    <t>T.07.06</t>
  </si>
  <si>
    <t>T.07.07</t>
  </si>
  <si>
    <t>T.07.08</t>
  </si>
  <si>
    <t>T.07.09</t>
  </si>
  <si>
    <t>T.07.10</t>
  </si>
  <si>
    <t>T.07.11</t>
  </si>
  <si>
    <t>T.07.12</t>
  </si>
  <si>
    <t>T.08.13</t>
  </si>
  <si>
    <t>T.08.14</t>
  </si>
  <si>
    <t>T.08.15</t>
  </si>
  <si>
    <t>T.08.16</t>
  </si>
  <si>
    <t>T.08.17</t>
  </si>
  <si>
    <t>T.08.18</t>
  </si>
  <si>
    <t>T.08.19</t>
  </si>
  <si>
    <t>T.08.20</t>
  </si>
  <si>
    <t>T.08.21</t>
  </si>
  <si>
    <t>T.08.22</t>
  </si>
  <si>
    <t>T.08.23</t>
  </si>
  <si>
    <t>T.08.24</t>
  </si>
  <si>
    <t>T.08.25</t>
  </si>
  <si>
    <t>T.08.26</t>
  </si>
  <si>
    <t>T.08.27</t>
  </si>
  <si>
    <t>T.08.28</t>
  </si>
  <si>
    <t>T.08.29</t>
  </si>
  <si>
    <t>T.08.30</t>
  </si>
  <si>
    <t>T.08.31</t>
  </si>
  <si>
    <t>T.08.32</t>
  </si>
  <si>
    <t>T.08.33</t>
  </si>
  <si>
    <t>T.08.34</t>
  </si>
  <si>
    <t>T.08.35</t>
  </si>
  <si>
    <t>T.08.36</t>
  </si>
  <si>
    <t>T.08.37</t>
  </si>
  <si>
    <t>T.08.38</t>
  </si>
  <si>
    <t>T.08.39</t>
  </si>
  <si>
    <t>T.08.40</t>
  </si>
  <si>
    <t>T.08.41</t>
  </si>
  <si>
    <t>T.08.42</t>
  </si>
  <si>
    <t>T.08.43</t>
  </si>
  <si>
    <t>T.08.44</t>
  </si>
  <si>
    <t>T.08.45</t>
  </si>
  <si>
    <t>T.08.46</t>
  </si>
  <si>
    <t>T.08.47</t>
  </si>
  <si>
    <t>T.08.48</t>
  </si>
  <si>
    <t>T.08.49</t>
  </si>
  <si>
    <t>T.08.50</t>
  </si>
  <si>
    <t>T.08.51</t>
  </si>
  <si>
    <t>T.08.52</t>
  </si>
  <si>
    <t>T.08.53</t>
  </si>
  <si>
    <t>T.08.54</t>
  </si>
  <si>
    <t>T.08.55</t>
  </si>
  <si>
    <t>T.08.56</t>
  </si>
  <si>
    <t>T.08.57</t>
  </si>
  <si>
    <t>T.08.58</t>
  </si>
  <si>
    <t>T.08.59</t>
  </si>
  <si>
    <t>T.08.60</t>
  </si>
  <si>
    <t>T.08.61</t>
  </si>
  <si>
    <t>T.08.62</t>
  </si>
  <si>
    <t>T.08.63</t>
  </si>
  <si>
    <t>T.08.64</t>
  </si>
  <si>
    <t>T.08.65</t>
  </si>
  <si>
    <t>T.08.66</t>
  </si>
  <si>
    <t>T.08.67</t>
  </si>
  <si>
    <t>T.08.68</t>
  </si>
  <si>
    <t>T.08.69</t>
  </si>
  <si>
    <t>T.08.70</t>
  </si>
  <si>
    <t>T.08.71</t>
  </si>
  <si>
    <t>T.08.72</t>
  </si>
  <si>
    <t>T.08.73</t>
  </si>
  <si>
    <t>T.08.74</t>
  </si>
  <si>
    <t>T.08.75</t>
  </si>
  <si>
    <t>T.08.76</t>
  </si>
  <si>
    <t>T.08.77</t>
  </si>
  <si>
    <t>T.08.78</t>
  </si>
  <si>
    <t>T.08.79</t>
  </si>
  <si>
    <t>T.08.80</t>
  </si>
  <si>
    <t>T.08.81</t>
  </si>
  <si>
    <t>T.08.82</t>
  </si>
  <si>
    <t>T.08.83</t>
  </si>
  <si>
    <t>T.08.84</t>
  </si>
  <si>
    <t>T.08.85</t>
  </si>
  <si>
    <t>T.08.86</t>
  </si>
  <si>
    <t>T.08.87</t>
  </si>
  <si>
    <t>T.08.88</t>
  </si>
  <si>
    <t>T.08.89</t>
  </si>
  <si>
    <t>T.08.90</t>
  </si>
  <si>
    <t>T.08.91</t>
  </si>
  <si>
    <t>T.08.92</t>
  </si>
  <si>
    <t>T.08.93</t>
  </si>
  <si>
    <t>T.08.94</t>
  </si>
  <si>
    <t>T.08.95</t>
  </si>
  <si>
    <t>T.08.96</t>
  </si>
  <si>
    <t>T.08.97</t>
  </si>
  <si>
    <t>T.08.98</t>
  </si>
  <si>
    <t>T.08.99</t>
  </si>
  <si>
    <t>T.08.100</t>
  </si>
  <si>
    <t>T.08.101</t>
  </si>
  <si>
    <t>T.08.102</t>
  </si>
  <si>
    <t>T.08.103</t>
  </si>
  <si>
    <t>T.08.104</t>
  </si>
  <si>
    <t>T.08.105</t>
  </si>
  <si>
    <t>T.08.106</t>
  </si>
  <si>
    <t>T.08.107</t>
  </si>
  <si>
    <t>T.08.108</t>
  </si>
  <si>
    <t>T.08.109</t>
  </si>
  <si>
    <t>T.08.110</t>
  </si>
  <si>
    <t>T.08.111</t>
  </si>
  <si>
    <t>T.08.112</t>
  </si>
  <si>
    <t>T.08.113</t>
  </si>
  <si>
    <t>T.08.114</t>
  </si>
  <si>
    <t>T.08.115</t>
  </si>
  <si>
    <t>T.08.116</t>
  </si>
  <si>
    <t>T.08.117</t>
  </si>
  <si>
    <t>T.08.118</t>
  </si>
  <si>
    <t>T.08.119</t>
  </si>
  <si>
    <t>T.08.120</t>
  </si>
  <si>
    <t>T.08.121</t>
  </si>
  <si>
    <t>T.08.122</t>
  </si>
  <si>
    <t>T.08.123</t>
  </si>
  <si>
    <t>T.08.124</t>
  </si>
  <si>
    <t>T.08.125</t>
  </si>
  <si>
    <t>T.08.126</t>
  </si>
  <si>
    <t>T.08.127</t>
  </si>
  <si>
    <t>T.08.128</t>
  </si>
  <si>
    <t>T.08.129</t>
  </si>
  <si>
    <t>T.08.130</t>
  </si>
  <si>
    <t>T.08.131</t>
  </si>
  <si>
    <t>T.08.132</t>
  </si>
  <si>
    <t>T.08.133</t>
  </si>
  <si>
    <t>T.08.134</t>
  </si>
  <si>
    <t>T.08.135</t>
  </si>
  <si>
    <t>T.08.136</t>
  </si>
  <si>
    <t>T.08.137</t>
  </si>
  <si>
    <t>T.08.138</t>
  </si>
  <si>
    <t>T.08.139</t>
  </si>
  <si>
    <t>T.08.140</t>
  </si>
  <si>
    <t>T.08.141</t>
  </si>
  <si>
    <t>T.08.142</t>
  </si>
  <si>
    <t>T.08.143</t>
  </si>
  <si>
    <t>T.08.144</t>
  </si>
  <si>
    <t>T.08.145</t>
  </si>
  <si>
    <t>T.08.146</t>
  </si>
  <si>
    <t>T.08.147</t>
  </si>
  <si>
    <t>T.08.148</t>
  </si>
  <si>
    <t>T.08.149</t>
  </si>
  <si>
    <t>T.08.150</t>
  </si>
  <si>
    <t>T.08.151</t>
  </si>
  <si>
    <t>T.08.152</t>
  </si>
  <si>
    <t>T.08.153</t>
  </si>
  <si>
    <t>T.08.154</t>
  </si>
  <si>
    <t>T.08.155</t>
  </si>
  <si>
    <t>T.08.156</t>
  </si>
  <si>
    <t>T.08.157</t>
  </si>
  <si>
    <t>T.08.158</t>
  </si>
  <si>
    <t>T.08.159</t>
  </si>
  <si>
    <t>T.08.160</t>
  </si>
  <si>
    <t>T.08.161</t>
  </si>
  <si>
    <t>T.08.162</t>
  </si>
  <si>
    <t>T.08.163</t>
  </si>
  <si>
    <t>T.08.164</t>
  </si>
  <si>
    <t>T.08.165</t>
  </si>
  <si>
    <t>T.08.166</t>
  </si>
  <si>
    <t>T.08.167</t>
  </si>
  <si>
    <t>T.08.168</t>
  </si>
  <si>
    <t>T.08.169</t>
  </si>
  <si>
    <t>T.08.170</t>
  </si>
  <si>
    <t>T.08.171</t>
  </si>
  <si>
    <t>T.08.172</t>
  </si>
  <si>
    <t>T.08.173</t>
  </si>
  <si>
    <t>T.08.174</t>
  </si>
  <si>
    <t>T.08.175</t>
  </si>
  <si>
    <t>T.08.176</t>
  </si>
  <si>
    <t>T.08.177</t>
  </si>
  <si>
    <t>T.08.178</t>
  </si>
  <si>
    <t>T.08.179</t>
  </si>
  <si>
    <t>T.08.180</t>
  </si>
  <si>
    <t>T.08.181</t>
  </si>
  <si>
    <t>T.08.182</t>
  </si>
  <si>
    <t>T.08.183</t>
  </si>
  <si>
    <t>T.08.184</t>
  </si>
  <si>
    <t>T.08.185</t>
  </si>
  <si>
    <t>T.08.186</t>
  </si>
  <si>
    <t>T.08.187</t>
  </si>
  <si>
    <t>T.08.188</t>
  </si>
  <si>
    <t>T.08.189</t>
  </si>
  <si>
    <t>T.08.190</t>
  </si>
  <si>
    <t>T.08.191</t>
  </si>
  <si>
    <t>T.08.192</t>
  </si>
  <si>
    <t>T.08.193</t>
  </si>
  <si>
    <t>T.08.194</t>
  </si>
  <si>
    <t>T.08.195</t>
  </si>
  <si>
    <t>T.08.196</t>
  </si>
  <si>
    <t>T.08.197</t>
  </si>
  <si>
    <t>T.08.198</t>
  </si>
  <si>
    <t>T.08.199</t>
  </si>
  <si>
    <t>T.08.200</t>
  </si>
  <si>
    <t>T.08.201</t>
  </si>
  <si>
    <t>T.08.202</t>
  </si>
  <si>
    <t>T.08.203</t>
  </si>
  <si>
    <t>T.08.204</t>
  </si>
  <si>
    <t>T.08.205</t>
  </si>
  <si>
    <t>T.11.01</t>
  </si>
  <si>
    <t>T.11.02</t>
  </si>
  <si>
    <t>T.11.03</t>
  </si>
  <si>
    <t>T.11.04</t>
  </si>
  <si>
    <t>T.11.05</t>
  </si>
  <si>
    <t>T.11.06</t>
  </si>
  <si>
    <t>T.11.07</t>
  </si>
  <si>
    <t>T.11.08</t>
  </si>
  <si>
    <t>T.11.09</t>
  </si>
  <si>
    <t>Best Estimate der sonstigen Versicherungsverpflichtungen (Leben): Brutto</t>
  </si>
  <si>
    <t>Best estimate of other insurance liabilities (life): gross</t>
  </si>
  <si>
    <t>Best Estimate der sonstigen Versicherungsverpflichtungen (Schaden): Brutto</t>
  </si>
  <si>
    <t>Best estimate of other insurance liabilities (non-life): gross</t>
  </si>
  <si>
    <t>Best Estimate der sonstigen Versicherungsverpflichtungen (Kranken): Brutto</t>
  </si>
  <si>
    <t>Best estimate of other insurance liabilities (health): gross</t>
  </si>
  <si>
    <t>davon Best Estimate der Versicherungsverpflichtungen Einzelkranken: Brutto</t>
  </si>
  <si>
    <t>davon Best Estimate der Versicherungsverpflichtungen Kollektivtaggeld: Brutto</t>
  </si>
  <si>
    <t>of which best estimate of insurance liabilities individual health insurance: gross</t>
  </si>
  <si>
    <t>of which best estimate of insurance liabilities daily allowance: gross</t>
  </si>
  <si>
    <t>T.08.206</t>
  </si>
  <si>
    <t>T.08.207</t>
  </si>
  <si>
    <t>T.07.13</t>
  </si>
  <si>
    <t>T.07.14</t>
  </si>
  <si>
    <t>T.07.15</t>
  </si>
  <si>
    <t>T.07.16</t>
  </si>
  <si>
    <t>T.07.17</t>
  </si>
  <si>
    <t>T.07.18</t>
  </si>
  <si>
    <t>T.07.19</t>
  </si>
  <si>
    <t>T.07.20</t>
  </si>
  <si>
    <t>T.07.21</t>
  </si>
  <si>
    <t>ÜBR</t>
  </si>
  <si>
    <t>Best estimate of insurance liabilities (life): gross</t>
  </si>
  <si>
    <t>Kontonummer</t>
  </si>
  <si>
    <t>Numéro de compte</t>
  </si>
  <si>
    <t>Account number</t>
  </si>
  <si>
    <t>Version française</t>
  </si>
  <si>
    <t>English Version</t>
  </si>
  <si>
    <t>There are two types of allocation:</t>
  </si>
  <si>
    <r>
      <rPr>
        <sz val="11"/>
        <color theme="1"/>
        <rFont val="Arial"/>
        <family val="2"/>
      </rPr>
      <t xml:space="preserve">Example of </t>
    </r>
    <r>
      <rPr>
        <b/>
        <sz val="11"/>
        <color rgb="FF000000"/>
        <rFont val="Arial"/>
        <family val="2"/>
      </rPr>
      <t>Variation 1</t>
    </r>
    <r>
      <rPr>
        <sz val="11"/>
        <color rgb="FF000000"/>
        <rFont val="Arial"/>
        <family val="2"/>
      </rPr>
      <t>: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Allocation of one balance sheet item to </t>
    </r>
    <r>
      <rPr>
        <u/>
        <sz val="11"/>
        <color rgb="FF000000"/>
        <rFont val="Arial"/>
        <family val="2"/>
      </rPr>
      <t>one</t>
    </r>
    <r>
      <rPr>
        <sz val="11"/>
        <color rgb="FF000000"/>
        <rFont val="Arial"/>
        <family val="2"/>
      </rPr>
      <t xml:space="preserve"> other balance sheet item (automated and therefore to be preferred over Variation 2)</t>
    </r>
  </si>
  <si>
    <t>"A part of the deferred acquisition costs is to be transferred to the actuarial reserve."</t>
  </si>
  <si>
    <r>
      <rPr>
        <sz val="11"/>
        <color theme="1"/>
        <rFont val="Arial"/>
        <family val="2"/>
      </rPr>
      <t xml:space="preserve">Example of </t>
    </r>
    <r>
      <rPr>
        <b/>
        <sz val="11"/>
        <color rgb="FF000000"/>
        <rFont val="Arial"/>
        <family val="2"/>
      </rPr>
      <t>Variation 2</t>
    </r>
    <r>
      <rPr>
        <sz val="11"/>
        <color rgb="FF000000"/>
        <rFont val="Arial"/>
        <family val="2"/>
      </rPr>
      <t>: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Allocation of one balance sheet item to </t>
    </r>
    <r>
      <rPr>
        <u/>
        <sz val="11"/>
        <color rgb="FF000000"/>
        <rFont val="Arial"/>
        <family val="2"/>
      </rPr>
      <t>several</t>
    </r>
    <r>
      <rPr>
        <sz val="11"/>
        <color rgb="FF000000"/>
        <rFont val="Arial"/>
        <family val="2"/>
      </rPr>
      <t xml:space="preserve"> other balance sheet items (only for complex allocations!)</t>
    </r>
  </si>
  <si>
    <t>Investments for the account and risk of life insurance policyholders (excluding Separate Accounts)</t>
  </si>
  <si>
    <t>Column B</t>
  </si>
  <si>
    <t>Referencing of cells by means of row number.</t>
  </si>
  <si>
    <t>Column C</t>
  </si>
  <si>
    <t>Inclusion of the prefix: + for assets and - for liabilities</t>
  </si>
  <si>
    <t>Column G</t>
  </si>
  <si>
    <t>Column G shows the row number of the cell to which a balance sheet item is to be fully or partially allocated.</t>
  </si>
  <si>
    <t>Column H</t>
  </si>
  <si>
    <t>Column K</t>
  </si>
  <si>
    <r>
      <rPr>
        <sz val="11"/>
        <color theme="1"/>
        <rFont val="Arial"/>
        <family val="2"/>
      </rPr>
      <t xml:space="preserve">Column K is to be used for breaking down a balance sheet item into </t>
    </r>
    <r>
      <rPr>
        <u/>
        <sz val="11"/>
        <color theme="1"/>
        <rFont val="Arial"/>
        <family val="2"/>
      </rPr>
      <t>several</t>
    </r>
    <r>
      <rPr>
        <sz val="11"/>
        <color theme="1"/>
        <rFont val="Arial"/>
        <family val="2"/>
      </rPr>
      <t xml:space="preserve"> new statutory positions.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In this case, the SST report must also describe in detail how the breakdown was made.</t>
    </r>
  </si>
  <si>
    <t>Colours used</t>
  </si>
  <si>
    <t>Green</t>
  </si>
  <si>
    <t>Correct referencing</t>
  </si>
  <si>
    <t>Yellow</t>
  </si>
  <si>
    <t>Missing referencing</t>
  </si>
  <si>
    <t>Blue</t>
  </si>
  <si>
    <t>Value indicated</t>
  </si>
  <si>
    <t>davon Schweizer Kantone und Gemeinden</t>
  </si>
  <si>
    <t>dont cantons et communes en Suisse</t>
  </si>
  <si>
    <t>of which Swiss cantons and municipalities</t>
  </si>
  <si>
    <t>Übrige derivative Instrumente</t>
  </si>
  <si>
    <t>Other derivative instruments</t>
  </si>
  <si>
    <t>Autres instruments dérivés</t>
  </si>
  <si>
    <t>Termes généraux</t>
  </si>
  <si>
    <t>Il existe deux variantes de transfert envisageables :</t>
  </si>
  <si>
    <r>
      <rPr>
        <sz val="11"/>
        <color theme="1"/>
        <rFont val="Arial"/>
        <family val="2"/>
      </rPr>
      <t xml:space="preserve">Exemple pour la </t>
    </r>
    <r>
      <rPr>
        <b/>
        <sz val="11"/>
        <color theme="1"/>
        <rFont val="Arial"/>
        <family val="2"/>
      </rPr>
      <t>variante 1</t>
    </r>
    <r>
      <rPr>
        <sz val="11"/>
        <color theme="1"/>
        <rFont val="Arial"/>
        <family val="2"/>
      </rPr>
      <t> :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Transfert d’un poste du bilan à </t>
    </r>
    <r>
      <rPr>
        <u/>
        <sz val="11"/>
        <color rgb="FF000000"/>
        <rFont val="Arial"/>
        <family val="2"/>
      </rPr>
      <t>un</t>
    </r>
    <r>
      <rPr>
        <sz val="11"/>
        <color rgb="FF000000"/>
        <rFont val="Arial"/>
        <family val="2"/>
      </rPr>
      <t xml:space="preserve"> autre poste du bilan (automatisé et donc à privilégier par rapport à la variante 2)</t>
    </r>
  </si>
  <si>
    <t>« Une partie des frais d’acquisition activés doit être reprise dans les réserves mathématiques. »</t>
  </si>
  <si>
    <t>Engagements d’assurance (bruts)</t>
  </si>
  <si>
    <r>
      <rPr>
        <sz val="11"/>
        <color theme="1"/>
        <rFont val="Arial"/>
        <family val="2"/>
      </rPr>
      <t xml:space="preserve">Exemple pour la </t>
    </r>
    <r>
      <rPr>
        <b/>
        <sz val="11"/>
        <color theme="1"/>
        <rFont val="Arial"/>
        <family val="2"/>
      </rPr>
      <t>variante 2</t>
    </r>
    <r>
      <rPr>
        <sz val="11"/>
        <color theme="1"/>
        <rFont val="Arial"/>
        <family val="2"/>
      </rPr>
      <t> :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Transfert d’un poste du bilan à </t>
    </r>
    <r>
      <rPr>
        <u/>
        <sz val="11"/>
        <color rgb="FF000000"/>
        <rFont val="Arial"/>
        <family val="2"/>
      </rPr>
      <t>plusieurs</t>
    </r>
    <r>
      <rPr>
        <sz val="11"/>
        <color rgb="FF000000"/>
        <rFont val="Arial"/>
        <family val="2"/>
      </rPr>
      <t xml:space="preserve"> autres postes du bilan (uniquement pour les ventilations complexes !)</t>
    </r>
  </si>
  <si>
    <r>
      <t xml:space="preserve">Placements de capitaux pour le compte et aux risques de titulaires de contrats d’assurance sur la vie (sans </t>
    </r>
    <r>
      <rPr>
        <b/>
        <i/>
        <u/>
        <sz val="11"/>
        <rFont val="Arial"/>
        <family val="2"/>
      </rPr>
      <t>« separate accounts »</t>
    </r>
    <r>
      <rPr>
        <b/>
        <sz val="11"/>
        <rFont val="Arial"/>
        <family val="2"/>
      </rPr>
      <t>)</t>
    </r>
  </si>
  <si>
    <t>Colonne B</t>
  </si>
  <si>
    <t>Référencement des cellules avec un numéro de ligne.</t>
  </si>
  <si>
    <t>Colonne C</t>
  </si>
  <si>
    <t>Prise en compte du signe : + pour les actifs et - pour les passifs</t>
  </si>
  <si>
    <t>Colonne G</t>
  </si>
  <si>
    <t>La colonne G indique le numéro de ligne de la cellule dans laquelle un poste du bilan doit être entièrement ou partiellement transféré.</t>
  </si>
  <si>
    <t>Colonne H</t>
  </si>
  <si>
    <t>Colonne K</t>
  </si>
  <si>
    <r>
      <rPr>
        <sz val="11"/>
        <color theme="1"/>
        <rFont val="Arial"/>
        <family val="2"/>
      </rPr>
      <t xml:space="preserve">La colonne K doit être utilisée lorsqu’un poste du bilan doit être ventilé entre </t>
    </r>
    <r>
      <rPr>
        <u/>
        <sz val="11"/>
        <color theme="1"/>
        <rFont val="Arial"/>
        <family val="2"/>
      </rPr>
      <t>plusieurs</t>
    </r>
    <r>
      <rPr>
        <sz val="11"/>
        <color theme="1"/>
        <rFont val="Arial"/>
        <family val="2"/>
      </rPr>
      <t xml:space="preserve"> nouveaux postes statutaires.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Dans ce cas, une description détaillée des modalités de la ventilation doit par ailleurs être fournie dans le rapport SST.</t>
    </r>
  </si>
  <si>
    <t>Couleurs utilisées</t>
  </si>
  <si>
    <t>Vert</t>
  </si>
  <si>
    <t>Référencement correct</t>
  </si>
  <si>
    <t>Jaune</t>
  </si>
  <si>
    <t>Référencement manquant</t>
  </si>
  <si>
    <t>Bleu</t>
  </si>
  <si>
    <t>Valeur indiquée</t>
  </si>
  <si>
    <t>Aktiven</t>
  </si>
  <si>
    <t>Rückstellungen für vertragliche Überschussbeteiligungen</t>
  </si>
  <si>
    <t>Anlagefonds: Geldmarktfonds</t>
  </si>
  <si>
    <t>"In der Bilanz wurden sämtliche Anlagefonds unter Anlagefonds: Immobilien erfasst. Effektiv sind aber nur 35'000 in Immobilienfonds investiert."</t>
  </si>
  <si>
    <t>L</t>
  </si>
  <si>
    <t>Actifs</t>
  </si>
  <si>
    <t>Provisions pour parts d'excédents contractuels</t>
  </si>
  <si>
    <t>Provisions techniques</t>
  </si>
  <si>
    <t>Versicherungstechnische Rückstellungen</t>
  </si>
  <si>
    <t>« Tous les fonds de placement ont été saisis sous Fonds de placement: bien immobiliers dans le bilan. Mais seuls 35 000 sont effectivement investis dans des fonds immobiliers. »</t>
  </si>
  <si>
    <t>In der Spalte H wird der Betrag angegeben, der auf die in der Spalte G genannte Zeile umgelegt werden soll.</t>
  </si>
  <si>
    <t>La colonne H indique le montant qui doit être affecté à la ligne citée dans la colonne G.</t>
  </si>
  <si>
    <t>Assets</t>
  </si>
  <si>
    <t>Technical provisions</t>
  </si>
  <si>
    <t>Insurance obligations</t>
  </si>
  <si>
    <t>Premiums carried over</t>
  </si>
  <si>
    <t>“The balance sheet included all investment funds under Investment funds: real estate. However, only 35,000 are actually invested in real estate funds."</t>
  </si>
  <si>
    <t>Column H shows the amount to be allocated to the row indicated in Column G.</t>
  </si>
  <si>
    <t>list</t>
  </si>
  <si>
    <t>input</t>
  </si>
  <si>
    <t>balancesheet</t>
  </si>
  <si>
    <t>Market Value Margin</t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</si>
  <si>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engagements actuariels (vie): bruts</t>
    </r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</si>
  <si>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autres engagements actuariels (vie): bruts</t>
    </r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</si>
  <si>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engagements actuariels (dommage): bruts</t>
    </r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</si>
  <si>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autres engagements actuariels (dommage): bruts</t>
    </r>
  </si>
  <si>
    <r>
      <t xml:space="preserve">dont </t>
    </r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engagements actuariels du portefeuille LAA</t>
    </r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</si>
  <si>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engagements actuariels (maladie): bruts</t>
    </r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</si>
  <si>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autres engagements actuariels (maladie): bruts</t>
    </r>
  </si>
  <si>
    <r>
      <rPr>
        <i/>
        <sz val="10"/>
        <color theme="1"/>
        <rFont val="Arial"/>
        <family val="2"/>
      </rPr>
      <t>Insurance linked securities</t>
    </r>
    <r>
      <rPr>
        <sz val="10"/>
        <color theme="1"/>
        <rFont val="Arial"/>
        <family val="2"/>
      </rPr>
      <t xml:space="preserve"> (p. ex.</t>
    </r>
    <r>
      <rPr>
        <i/>
        <sz val="10"/>
        <color theme="1"/>
        <rFont val="Arial"/>
        <family val="2"/>
      </rPr>
      <t xml:space="preserve"> cat bonds</t>
    </r>
    <r>
      <rPr>
        <sz val="10"/>
        <color theme="1"/>
        <rFont val="Arial"/>
        <family val="2"/>
      </rPr>
      <t>)</t>
    </r>
  </si>
  <si>
    <r>
      <t xml:space="preserve">Autres placements (investissements dans l'infrastructure, </t>
    </r>
    <r>
      <rPr>
        <i/>
        <sz val="10"/>
        <color theme="1"/>
        <rFont val="Arial"/>
        <family val="2"/>
      </rPr>
      <t>currency overlay</t>
    </r>
    <r>
      <rPr>
        <sz val="10"/>
        <color theme="1"/>
        <rFont val="Arial"/>
        <family val="2"/>
      </rPr>
      <t>, e.a.)</t>
    </r>
  </si>
  <si>
    <t>Best estimate of long-term insurance liabilities (health): gross</t>
  </si>
  <si>
    <r>
      <t>dont b</t>
    </r>
    <r>
      <rPr>
        <i/>
        <sz val="10"/>
        <color theme="1"/>
        <rFont val="Arial"/>
        <family val="2"/>
      </rPr>
      <t>est estimate</t>
    </r>
    <r>
      <rPr>
        <sz val="10"/>
        <color theme="1"/>
        <rFont val="Arial"/>
        <family val="2"/>
      </rPr>
      <t xml:space="preserve"> des engagements actuariels de l'assurance collective d’indemnités journalières: bruts</t>
    </r>
  </si>
  <si>
    <r>
      <rPr>
        <i/>
        <sz val="10"/>
        <color theme="1"/>
        <rFont val="Arial"/>
        <family val="2"/>
      </rPr>
      <t>Best estimate</t>
    </r>
    <r>
      <rPr>
        <sz val="10"/>
        <color theme="1"/>
        <rFont val="Arial"/>
        <family val="2"/>
      </rPr>
      <t xml:space="preserve"> des engagements de long terme (maladie)</t>
    </r>
  </si>
  <si>
    <r>
      <t>dont b</t>
    </r>
    <r>
      <rPr>
        <i/>
        <sz val="10"/>
        <color theme="1"/>
        <rFont val="Arial"/>
        <family val="2"/>
      </rPr>
      <t>est estimate</t>
    </r>
    <r>
      <rPr>
        <sz val="10"/>
        <color theme="1"/>
        <rFont val="Arial"/>
        <family val="2"/>
      </rPr>
      <t xml:space="preserve"> des engagements actuariels de l'assurance-maladie individuelle: bruts </t>
    </r>
  </si>
  <si>
    <t>Keyword</t>
  </si>
  <si>
    <t>T.01.20</t>
  </si>
  <si>
    <t>T.01.21</t>
  </si>
  <si>
    <t>stat</t>
  </si>
  <si>
    <t>Provisions de fluctuation et autres réserves statutaires (maladie): brutes</t>
  </si>
  <si>
    <t>mit festen Zinssätzen</t>
  </si>
  <si>
    <t>mit variablen Zinssätzen</t>
  </si>
  <si>
    <t>avec taux d'intérêt fixes</t>
  </si>
  <si>
    <t>avec taux d'intérêt variables</t>
  </si>
  <si>
    <t>with fixed interest rates</t>
  </si>
  <si>
    <t>with variable interest rates</t>
  </si>
  <si>
    <t>Private Debt</t>
  </si>
  <si>
    <t>Senior Secured Loans</t>
  </si>
  <si>
    <t>Rohstoffe</t>
  </si>
  <si>
    <t>Asset Backed Securities (ABS)</t>
  </si>
  <si>
    <t>Mortgage Backed Securities (MBS)</t>
  </si>
  <si>
    <t>Collateralized Debt Obligations (CDO) und Collateralized Loan Obligations (CLO)</t>
  </si>
  <si>
    <t>Autres placements de capitaux</t>
  </si>
  <si>
    <t>2.9. Passive Rechnungsabgrenzungen</t>
  </si>
  <si>
    <t>Anzahl Simulationen</t>
  </si>
  <si>
    <t>Nombre de simulations</t>
  </si>
  <si>
    <t>Number of simulations</t>
  </si>
  <si>
    <t>Aktien von Gruppengesellschaften</t>
  </si>
  <si>
    <t>Forderungen gegenüber Versicherungsgesellschaften: übrige</t>
  </si>
  <si>
    <t>Forderungen gegenüber Versicherungs- und Rückversicherungsgesellschaften</t>
  </si>
  <si>
    <t>Latente Steuerverpflichtungen</t>
  </si>
  <si>
    <t>Eingabefelder: In diesen Feldern werden versicherungsspezifische Angaben erwartet.</t>
  </si>
  <si>
    <t>101000000MCV</t>
  </si>
  <si>
    <t>101100000MCV</t>
  </si>
  <si>
    <t>101200000MCV</t>
  </si>
  <si>
    <t>101200100MCV</t>
  </si>
  <si>
    <t>101200200MCV</t>
  </si>
  <si>
    <t>101300000MCV</t>
  </si>
  <si>
    <t>101300100MCV</t>
  </si>
  <si>
    <t>101300200MCV</t>
  </si>
  <si>
    <t>101300300MCV</t>
  </si>
  <si>
    <t>101300400MCV</t>
  </si>
  <si>
    <t>101310000MCV</t>
  </si>
  <si>
    <t>101400000MCV</t>
  </si>
  <si>
    <t>101410000MCV</t>
  </si>
  <si>
    <t>101500000MCV</t>
  </si>
  <si>
    <t>101600000MCV</t>
  </si>
  <si>
    <t>101600100MCV</t>
  </si>
  <si>
    <t>101600200MCV</t>
  </si>
  <si>
    <t>101600300MCV</t>
  </si>
  <si>
    <t>Beschreibung der Änderung</t>
  </si>
  <si>
    <t>101700000MCV</t>
  </si>
  <si>
    <t>101710000MCV</t>
  </si>
  <si>
    <t>101710100MCV</t>
  </si>
  <si>
    <t>101710200MCV</t>
  </si>
  <si>
    <t>101710300MCV</t>
  </si>
  <si>
    <t>Actions de sociétés du groupe</t>
  </si>
  <si>
    <t>Investments in subsidiaries: quota &gt;50%</t>
  </si>
  <si>
    <t>Investments in subsidiaries: quota &gt;20% to 50%</t>
  </si>
  <si>
    <t>Investments in subsidiaries: insurance companies</t>
  </si>
  <si>
    <t>Other investments in subsidiaries</t>
  </si>
  <si>
    <t>Mixed-use real estate: domestic</t>
  </si>
  <si>
    <t>Government and central banks bonds</t>
  </si>
  <si>
    <t>Policyholders' loan</t>
  </si>
  <si>
    <t>Anlagefonds: festverzinsliche Wertpapiere</t>
  </si>
  <si>
    <t>Investment funds: fixed income securities</t>
  </si>
  <si>
    <t>101710400MCV</t>
  </si>
  <si>
    <t>101710500MCV</t>
  </si>
  <si>
    <t>101710600MCV</t>
  </si>
  <si>
    <t>Alternative Kapitalanlagen</t>
  </si>
  <si>
    <t>Placements alternatifs de capitaux</t>
  </si>
  <si>
    <t>101720000MCV</t>
  </si>
  <si>
    <t>101721000MCV</t>
  </si>
  <si>
    <t>101722000MCV</t>
  </si>
  <si>
    <t>101723100MCV</t>
  </si>
  <si>
    <t>101723200MCV</t>
  </si>
  <si>
    <t>101723300MCV</t>
  </si>
  <si>
    <t>101730000MCV</t>
  </si>
  <si>
    <t>Andere strukturierte Produkte</t>
  </si>
  <si>
    <t>Other structured products</t>
  </si>
  <si>
    <t>Autres produits structurés</t>
  </si>
  <si>
    <t>101740000MCV</t>
  </si>
  <si>
    <t>101741000MCV</t>
  </si>
  <si>
    <t>101741100MCV</t>
  </si>
  <si>
    <t>101741200MCV</t>
  </si>
  <si>
    <t>101741300MCV</t>
  </si>
  <si>
    <t>101741400MCV</t>
  </si>
  <si>
    <t>101742100MCV</t>
  </si>
  <si>
    <t>Sonstige verbriefte Forderungen</t>
  </si>
  <si>
    <t>Autres créances titrisées</t>
  </si>
  <si>
    <t>Other securitized claims</t>
  </si>
  <si>
    <t>102000000MCV</t>
  </si>
  <si>
    <t>102100000MCV</t>
  </si>
  <si>
    <t>102200000MCV</t>
  </si>
  <si>
    <t>103000000MCV</t>
  </si>
  <si>
    <t>103000100MCV</t>
  </si>
  <si>
    <t>103000200MCV</t>
  </si>
  <si>
    <t>103000300MCV</t>
  </si>
  <si>
    <t>103000400MCV</t>
  </si>
  <si>
    <t>103000500MCV</t>
  </si>
  <si>
    <t>103000600MCV</t>
  </si>
  <si>
    <t>104000000MCV</t>
  </si>
  <si>
    <t>105000000MCV</t>
  </si>
  <si>
    <t>105000100MCV</t>
  </si>
  <si>
    <t>105000200MCV</t>
  </si>
  <si>
    <t>105000300MCV</t>
  </si>
  <si>
    <t>Direktversicherung: Lebensversicherungsgeschäft (ohne ALV)</t>
  </si>
  <si>
    <t>Direktversicherung: Schadenversicherungsgeschäft</t>
  </si>
  <si>
    <t>Direktversicherung: Krankenversicherungsgeschäft</t>
  </si>
  <si>
    <t>Direktversicherung: Anteilgebundenes Lebensversicherungsgeschäft</t>
  </si>
  <si>
    <t>Assurance directe : assurance sur la vie (hors ass.-vie liée à des participations)</t>
  </si>
  <si>
    <t>Réassurance active : assurance sur la vie (hors ass.-vie liée à des participations)</t>
  </si>
  <si>
    <t>Assurance directe : assurance dommages</t>
  </si>
  <si>
    <t>Assurance directe : assurance-maladie</t>
  </si>
  <si>
    <t>Réassurance active : assurance dommages</t>
  </si>
  <si>
    <t>Réassurance active : assurance-maladie</t>
  </si>
  <si>
    <t>Assurance directe : autres affaires</t>
  </si>
  <si>
    <t>Réassurance active : autres affaires</t>
  </si>
  <si>
    <t>Assurance directe : assurance-vie liée à des participations</t>
  </si>
  <si>
    <t>Réassurance active : assurance-vie liée à des participations</t>
  </si>
  <si>
    <t>Direct insurance: life insurance business (excluding unit linked life insurance)</t>
  </si>
  <si>
    <t>Reinsurance: life insurance business (excluding unit linked life insurance)</t>
  </si>
  <si>
    <t>Direct insurance: non-life insurance business</t>
  </si>
  <si>
    <t>Direct insurance: health insurance business</t>
  </si>
  <si>
    <t>Reinsurance: non-life insurance business</t>
  </si>
  <si>
    <t>Reinsurance: health insurance business</t>
  </si>
  <si>
    <t>Direct insurance: other business</t>
  </si>
  <si>
    <t>Reinsurance: other business</t>
  </si>
  <si>
    <t>Direct insurance: unit-linked life insurance business</t>
  </si>
  <si>
    <t>Reinsurance: unit-linked life insurance business</t>
  </si>
  <si>
    <t>106101000BE</t>
  </si>
  <si>
    <t>106102000BE</t>
  </si>
  <si>
    <t>106201000BE</t>
  </si>
  <si>
    <t>106202000BE</t>
  </si>
  <si>
    <t>106203000BE</t>
  </si>
  <si>
    <t>106204000BE</t>
  </si>
  <si>
    <t>106301000BE</t>
  </si>
  <si>
    <t>106302000BE</t>
  </si>
  <si>
    <t>107000000MCV</t>
  </si>
  <si>
    <t>108000000MCV</t>
  </si>
  <si>
    <t>109000000MCV</t>
  </si>
  <si>
    <t>110000000MCV</t>
  </si>
  <si>
    <t>Créances sur des compagnies d'assurance et de réassurance</t>
  </si>
  <si>
    <t>Receivables from insurance and reinsurance companies</t>
  </si>
  <si>
    <t>Créances sur des compagnies d'assurance: autres</t>
  </si>
  <si>
    <t>Receivables from insurance companies: other</t>
  </si>
  <si>
    <t>111000000MCV</t>
  </si>
  <si>
    <t>112000000MCV</t>
  </si>
  <si>
    <t>113000000MCV</t>
  </si>
  <si>
    <t>114000000MCV</t>
  </si>
  <si>
    <t>200000000MCV</t>
  </si>
  <si>
    <t>100000000MCV</t>
  </si>
  <si>
    <t>201102000BE</t>
  </si>
  <si>
    <t>201201000BE</t>
  </si>
  <si>
    <t>201101000BE</t>
  </si>
  <si>
    <t>201203000BE</t>
  </si>
  <si>
    <t>158)</t>
  </si>
  <si>
    <t>202020000BE</t>
  </si>
  <si>
    <t>201204000BE</t>
  </si>
  <si>
    <t>203000000MCV</t>
  </si>
  <si>
    <t>204000000MCV</t>
  </si>
  <si>
    <t>205000000MCV</t>
  </si>
  <si>
    <t>205000100MCV</t>
  </si>
  <si>
    <t>205000200MCV</t>
  </si>
  <si>
    <t>205000300MCV</t>
  </si>
  <si>
    <t>205000400MCV</t>
  </si>
  <si>
    <t>205000500MCV</t>
  </si>
  <si>
    <t>205000600MCV</t>
  </si>
  <si>
    <t>206000000MCV</t>
  </si>
  <si>
    <t>207000000MCV</t>
  </si>
  <si>
    <t>208000000MCV</t>
  </si>
  <si>
    <t>209000000MCV</t>
  </si>
  <si>
    <t>Engagements fiscaux différés</t>
  </si>
  <si>
    <t>Deferred tax liabilities</t>
  </si>
  <si>
    <t>T.08.208</t>
  </si>
  <si>
    <t>Equity securities of group companies</t>
  </si>
  <si>
    <t>Captive</t>
  </si>
  <si>
    <t>101723000XXX</t>
  </si>
  <si>
    <t>101722300XXX</t>
  </si>
  <si>
    <t>101730200XXX</t>
  </si>
  <si>
    <t>101730300XXX</t>
  </si>
  <si>
    <t>102200010XXX</t>
  </si>
  <si>
    <t>102200020XXX &amp; 102200030XXX</t>
  </si>
  <si>
    <t>102200040XXX</t>
  </si>
  <si>
    <t>102200050XXX</t>
  </si>
  <si>
    <t>102200070XXX</t>
  </si>
  <si>
    <t>106000000XXX</t>
  </si>
  <si>
    <t>106160100XXX</t>
  </si>
  <si>
    <t>107000200XXX</t>
  </si>
  <si>
    <t>110100000XXX</t>
  </si>
  <si>
    <t>110200000XXX</t>
  </si>
  <si>
    <t>Créances sur des compagnies de réassurance: acceptée</t>
  </si>
  <si>
    <t>Receivables from reinsurance companies: assumed</t>
  </si>
  <si>
    <t>1.10 Receivables from insurance business</t>
  </si>
  <si>
    <t xml:space="preserve">Receivables from policyholders and agents </t>
  </si>
  <si>
    <t>110200100XXX</t>
  </si>
  <si>
    <t>110200200XXX</t>
  </si>
  <si>
    <t>110200300XXX</t>
  </si>
  <si>
    <t>114000100XXX</t>
  </si>
  <si>
    <t>114000200XXX</t>
  </si>
  <si>
    <t>114000300XXX</t>
  </si>
  <si>
    <t>114000400XXX</t>
  </si>
  <si>
    <t>147)</t>
  </si>
  <si>
    <t>Andere Alternative Kapitalanlagen</t>
  </si>
  <si>
    <t>Autres placements alternatifs de capitaux</t>
  </si>
  <si>
    <t>Forderungen gegenüber Versicherungsgesellschaften: abgegebene</t>
  </si>
  <si>
    <t>Forderungen gegenüber Versicherungsgesellschaften: übernommene</t>
  </si>
  <si>
    <t>201'110'100XXX &amp; 201'120'100XXX &amp; 201'130'100XXX</t>
  </si>
  <si>
    <t>201140100XXX</t>
  </si>
  <si>
    <t>201150100XXX</t>
  </si>
  <si>
    <t>201160100XXX</t>
  </si>
  <si>
    <t>201170100XXX</t>
  </si>
  <si>
    <t>201202000BE</t>
  </si>
  <si>
    <t>201230200XXX</t>
  </si>
  <si>
    <t>202000000XXX</t>
  </si>
  <si>
    <t>203000200XXX</t>
  </si>
  <si>
    <t>203100000XXX</t>
  </si>
  <si>
    <t>207300200XXX</t>
  </si>
  <si>
    <t>209000400XXX</t>
  </si>
  <si>
    <t>210000000MCV</t>
  </si>
  <si>
    <t>210000100XXX</t>
  </si>
  <si>
    <t>210000200XXX</t>
  </si>
  <si>
    <t>210000300XXX</t>
  </si>
  <si>
    <t>210000400XXX</t>
  </si>
  <si>
    <t>210000500XXX</t>
  </si>
  <si>
    <t>Emprunts publics et de banques centrales</t>
  </si>
  <si>
    <t>Autre emprunts (emprunts à option, emprunts supranationaux)</t>
  </si>
  <si>
    <t xml:space="preserve">Senior Secured Loans </t>
  </si>
  <si>
    <t>Matières premières</t>
  </si>
  <si>
    <r>
      <rPr>
        <i/>
        <sz val="10"/>
        <color theme="1"/>
        <rFont val="Arial"/>
        <family val="2"/>
      </rPr>
      <t>Asset backed securities</t>
    </r>
    <r>
      <rPr>
        <sz val="10"/>
        <color theme="1"/>
        <rFont val="Arial"/>
        <family val="2"/>
      </rPr>
      <t xml:space="preserve"> (ABS)</t>
    </r>
  </si>
  <si>
    <r>
      <rPr>
        <i/>
        <sz val="10"/>
        <color theme="1"/>
        <rFont val="Arial"/>
        <family val="2"/>
      </rPr>
      <t>Mortgage backed securities</t>
    </r>
    <r>
      <rPr>
        <sz val="10"/>
        <color theme="1"/>
        <rFont val="Arial"/>
        <family val="2"/>
      </rPr>
      <t xml:space="preserve"> (MBS)</t>
    </r>
  </si>
  <si>
    <t>1.9 Immobilisations incorporelles</t>
  </si>
  <si>
    <t>Autres dettes à caractère de fonds propres, à durée indéterminée</t>
  </si>
  <si>
    <t>2.5 Dettes sur instruments financiers dérivés</t>
  </si>
  <si>
    <t>2.9 Comptes de régularisation</t>
  </si>
  <si>
    <t>1.8 Frais d'acquisition différés, activés, non encore amortis</t>
  </si>
  <si>
    <t>1.1.7 Autres placements</t>
  </si>
  <si>
    <t>1.1.1 Biens immobiliers</t>
  </si>
  <si>
    <t>1.1 Placements</t>
  </si>
  <si>
    <t>1.15 Total des actifs</t>
  </si>
  <si>
    <t>Placements collectifs de capitaux</t>
  </si>
  <si>
    <t>Total des autres actifs</t>
  </si>
  <si>
    <t>Assurance directe: autres affaires</t>
  </si>
  <si>
    <r>
      <t>C</t>
    </r>
    <r>
      <rPr>
        <i/>
        <sz val="10"/>
        <color theme="1"/>
        <rFont val="Arial"/>
        <family val="2"/>
      </rPr>
      <t>ollateralized debt obligations</t>
    </r>
    <r>
      <rPr>
        <sz val="10"/>
        <color theme="1"/>
        <rFont val="Arial"/>
        <family val="2"/>
      </rPr>
      <t xml:space="preserve"> (CDO) et C</t>
    </r>
    <r>
      <rPr>
        <i/>
        <sz val="10"/>
        <color theme="1"/>
        <rFont val="Arial"/>
        <family val="2"/>
      </rPr>
      <t>ollateralized loan obligations</t>
    </r>
    <r>
      <rPr>
        <sz val="10"/>
        <color theme="1"/>
        <rFont val="Arial"/>
        <family val="2"/>
      </rPr>
      <t xml:space="preserve"> (CLO)</t>
    </r>
  </si>
  <si>
    <t>1.1.3 Fixed-income securities</t>
  </si>
  <si>
    <t>1.1.6 Equities</t>
  </si>
  <si>
    <t>Collective investment schemes</t>
  </si>
  <si>
    <t>1.2 Financial investments from unit-linked life insurance</t>
  </si>
  <si>
    <t>1.7 Fixed assets</t>
  </si>
  <si>
    <t>1.14 Accrued assets</t>
  </si>
  <si>
    <t>2.9 Accrued liabilities</t>
  </si>
  <si>
    <t>2.10 Subordinated debts</t>
  </si>
  <si>
    <t>2.6 Deposits retained on ceded reinsurance</t>
  </si>
  <si>
    <t>Investment funds: equity securities</t>
  </si>
  <si>
    <t>Private debt</t>
  </si>
  <si>
    <t>Senior secured loans</t>
  </si>
  <si>
    <t>Commodities</t>
  </si>
  <si>
    <t>Asset backed securities (ABS)</t>
  </si>
  <si>
    <t>Mortgage backed securities (MBS)</t>
  </si>
  <si>
    <t>Collateralized debt obligations (CDO) and Collateralized loan obligations (CLO)</t>
  </si>
  <si>
    <t>Equity securities and similar securities</t>
  </si>
  <si>
    <t>Other fixed assets</t>
  </si>
  <si>
    <t>Créances sur des compagnies de réassurance: cédée</t>
  </si>
  <si>
    <t xml:space="preserve">Receivables from reinsurance companies: ceded </t>
  </si>
  <si>
    <t>Equalization reserves and other statutory reserves (life): gross</t>
  </si>
  <si>
    <t>Equalization reserves and other statutory reserves (non-life): gross</t>
  </si>
  <si>
    <t>Equalization reserves and other statutory reserves (health): gross</t>
  </si>
  <si>
    <t>Unlimited bonds and loans with characteristics of equity</t>
  </si>
  <si>
    <t>Other unlimited liabilities with characteristics of equity</t>
  </si>
  <si>
    <t>2.2 Insurance reserves for unit-linked life insurance: gross</t>
  </si>
  <si>
    <t>101800100XXX</t>
  </si>
  <si>
    <t>Schwankungsreserven Kapitalanlagen (ohne anteilgebundene Lebensversicherung)</t>
  </si>
  <si>
    <t>Réserves de fluctuation placements de capitaux (sans assurance vie liée à des participations)</t>
  </si>
  <si>
    <t>Equalization reserves investments (without unit-linked life insurance)</t>
  </si>
  <si>
    <t>Schwankungsreserven Kapitalanlagen aus anteilgebundener Lebensversicherung</t>
  </si>
  <si>
    <t>102300100XXX</t>
  </si>
  <si>
    <t>Réserves de fluctuation placements provenant de l'assurance sur la vie liée à des participations</t>
  </si>
  <si>
    <t>Equalization reserves for investments from unit-linked life insurance</t>
  </si>
  <si>
    <t>T.08.209</t>
  </si>
  <si>
    <t>T.08.210</t>
  </si>
  <si>
    <t>197)</t>
  </si>
  <si>
    <t>198)</t>
  </si>
  <si>
    <t>Schwankungsrückstellungen für anteilgebundene Lebensversicherungen direktes Geschäft: Brutto</t>
  </si>
  <si>
    <t>Provisions de fluctuation de l'assurance sur la vie liée à des participations; affaires directes: brutes</t>
  </si>
  <si>
    <t>Equalization reserves for unit-linked life insurancee; direct business: gross</t>
  </si>
  <si>
    <t>202400100XXX</t>
  </si>
  <si>
    <t>1013004X0</t>
  </si>
  <si>
    <t>1012001X0</t>
  </si>
  <si>
    <t>1012002X0</t>
  </si>
  <si>
    <t>1013001X0</t>
  </si>
  <si>
    <t>1013002X0</t>
  </si>
  <si>
    <t>1013003X0</t>
  </si>
  <si>
    <t>1016001X0</t>
  </si>
  <si>
    <t>1016002X0</t>
  </si>
  <si>
    <t>1016003X0</t>
  </si>
  <si>
    <t>1017101X0</t>
  </si>
  <si>
    <t>1017102X0</t>
  </si>
  <si>
    <t>1017103X0</t>
  </si>
  <si>
    <t>1017104X0</t>
  </si>
  <si>
    <t>1017105X0</t>
  </si>
  <si>
    <t>1017106X0</t>
  </si>
  <si>
    <t>1017223X0</t>
  </si>
  <si>
    <t>1017231X0</t>
  </si>
  <si>
    <t>1017232X0</t>
  </si>
  <si>
    <t>1017233X0</t>
  </si>
  <si>
    <t>1017302X0</t>
  </si>
  <si>
    <t>1017411X0</t>
  </si>
  <si>
    <t>1017412X0</t>
  </si>
  <si>
    <t>1017413X0</t>
  </si>
  <si>
    <t>1017414X0</t>
  </si>
  <si>
    <t>1017421X0</t>
  </si>
  <si>
    <t>10220001X</t>
  </si>
  <si>
    <t>10220002X &amp; 10220003X</t>
  </si>
  <si>
    <t>10220004X</t>
  </si>
  <si>
    <t>10220005X</t>
  </si>
  <si>
    <t>10220007X</t>
  </si>
  <si>
    <t>1030001X0</t>
  </si>
  <si>
    <t>1030002X0</t>
  </si>
  <si>
    <t>1030003X0</t>
  </si>
  <si>
    <t>1030004X0</t>
  </si>
  <si>
    <t>1030005X0</t>
  </si>
  <si>
    <t>1030006X0</t>
  </si>
  <si>
    <t>201110100 &amp; 201120100 &amp; 201130100</t>
  </si>
  <si>
    <t>110300100XXX &amp; 110400100XXX</t>
  </si>
  <si>
    <t>110300100 &amp; 110400100</t>
  </si>
  <si>
    <t>T.07.22</t>
  </si>
  <si>
    <t>Aufriss nach Währungen</t>
  </si>
  <si>
    <t>Répartition selon la monnaie</t>
  </si>
  <si>
    <t>Currency breakdown</t>
  </si>
  <si>
    <t>Autres dépôts et autres créances nées d'opérations d'assurance</t>
  </si>
  <si>
    <t>Sonstige Depotforderungen und sonstige Forderungen aus dem Versicherungsgeschäft</t>
  </si>
  <si>
    <t>Other deposit receivables and other receivables from insurance business</t>
  </si>
  <si>
    <t>SST-Participation-Template</t>
  </si>
  <si>
    <t>Participation Inputs</t>
  </si>
  <si>
    <t>SST Balance Sheet BVG</t>
  </si>
  <si>
    <t>Anleitung für das Tabellenblatt 6</t>
  </si>
  <si>
    <t>Indications pour l'onglet 6</t>
  </si>
  <si>
    <t>Instructions for the worksheet 6</t>
  </si>
  <si>
    <t>Ausgabe</t>
  </si>
  <si>
    <t>Output</t>
  </si>
  <si>
    <t>Differences_Stat_SSTBalance BVG</t>
  </si>
  <si>
    <t>SST-Bilanz für das BVG Geschäft</t>
  </si>
  <si>
    <t>SST Balance sheet for the BVG Business</t>
  </si>
  <si>
    <t>verspÜ-Üfonds</t>
  </si>
  <si>
    <t>UCGL</t>
  </si>
  <si>
    <t>L-Res</t>
  </si>
  <si>
    <t>Position</t>
  </si>
  <si>
    <t>Term</t>
  </si>
  <si>
    <t>SST Currency</t>
  </si>
  <si>
    <t>Lookthrough Methodik</t>
  </si>
  <si>
    <t>Lookthrough Methodology</t>
  </si>
  <si>
    <t>Überschussfonds Gesamtgeschäft</t>
  </si>
  <si>
    <t>Surplus Funds Total Business</t>
  </si>
  <si>
    <t>davon fest zugeteilter Teil</t>
  </si>
  <si>
    <t>shared part of Surplus Funds</t>
  </si>
  <si>
    <t>unrealisierte Gewinne / Verluste auf Kapitalanlagen BVG</t>
  </si>
  <si>
    <t>unrealised gains / losses on investments BVG</t>
  </si>
  <si>
    <t>unrealised gains / losses on insurance liabilities BVG</t>
  </si>
  <si>
    <t>Legal Quote</t>
  </si>
  <si>
    <t>legal quote</t>
  </si>
  <si>
    <t>BVG Term</t>
  </si>
  <si>
    <t>BVG term</t>
  </si>
  <si>
    <t>Barwert zukünftiger Überschüsse - Barwert fest zugesagter Überschüsse</t>
  </si>
  <si>
    <t>PV of future cashflows - PV of fixed cashflows</t>
  </si>
  <si>
    <t>Beteiligungswert vor Steuern</t>
  </si>
  <si>
    <t>participation value before tax</t>
  </si>
  <si>
    <t>Eigenkapital nach OR</t>
  </si>
  <si>
    <t>own funds according OR</t>
  </si>
  <si>
    <t>Steuersatz</t>
  </si>
  <si>
    <t>tax rate</t>
  </si>
  <si>
    <t>Steuerabzug</t>
  </si>
  <si>
    <t>tax subtraction</t>
  </si>
  <si>
    <t>Wert einer SST-pflichtigen Beteiligung aus Transferperspektive</t>
  </si>
  <si>
    <t>participation value from transfer perspective</t>
  </si>
  <si>
    <t>Skalierungsfaktor</t>
  </si>
  <si>
    <t>scaling factor</t>
  </si>
  <si>
    <t>gemäss Technische Beschreibung Standardmodell Beteiligungen</t>
  </si>
  <si>
    <t>Modifizierte Skalierung</t>
  </si>
  <si>
    <t>Üfonds</t>
  </si>
  <si>
    <t>L - Res</t>
  </si>
  <si>
    <t>LQ</t>
  </si>
  <si>
    <t>LQ * Max(UCGL - (L - Res), 0)</t>
  </si>
  <si>
    <t>PVÜ</t>
  </si>
  <si>
    <t>ST</t>
  </si>
  <si>
    <t>Beteiligungsanteil</t>
  </si>
  <si>
    <t>Beteiligungswert</t>
  </si>
  <si>
    <t>participation share</t>
  </si>
  <si>
    <t>participation value</t>
  </si>
  <si>
    <t>according to Technische Beschreibung Standardmodell Beteiligungen</t>
  </si>
  <si>
    <t>verspÜ</t>
  </si>
  <si>
    <t>Tochter 2</t>
  </si>
  <si>
    <t>Tochter 1 mit BVG-Geschäft</t>
  </si>
  <si>
    <t>Skalierung</t>
  </si>
  <si>
    <t>Inputs für die SST-Templates</t>
  </si>
  <si>
    <t>Inputs for the SST-Templates</t>
  </si>
  <si>
    <t>Mutter</t>
  </si>
  <si>
    <t>in die SST-Bilanz der Mutter einzukopieren</t>
  </si>
  <si>
    <t>to be copied into the SST Balance Sheet of the mother</t>
  </si>
  <si>
    <t>LLPO anwenden</t>
  </si>
  <si>
    <t>Yes</t>
  </si>
  <si>
    <t>No</t>
  </si>
  <si>
    <t>T.07.23</t>
  </si>
  <si>
    <t>T.07.24</t>
  </si>
  <si>
    <t>apply the LLPO</t>
  </si>
  <si>
    <t>Simulationen der Tochter unter Marktrisiko der Beteiligungen ausweisen</t>
  </si>
  <si>
    <t>show simulations of the daughter at market risk of participations</t>
  </si>
  <si>
    <t>T.07.25</t>
  </si>
  <si>
    <t>sum of all participation values</t>
  </si>
  <si>
    <t>Summe aller Beteiligungswerte</t>
  </si>
  <si>
    <t>DE</t>
  </si>
  <si>
    <t>T.07.26</t>
  </si>
  <si>
    <t>T.07.27</t>
  </si>
  <si>
    <t>in das erwartete Finanzergebnis der Mutter einzukopieren</t>
  </si>
  <si>
    <t>to be copied into the expected financial result of the mother</t>
  </si>
  <si>
    <t>Summe aller erwarteten Dividenden</t>
  </si>
  <si>
    <t>sum of all expected dividends</t>
  </si>
  <si>
    <t>T.07.28</t>
  </si>
  <si>
    <t>erwartete Dividende</t>
  </si>
  <si>
    <t>expected dividend</t>
  </si>
  <si>
    <t>Ausgabefelder: Diese Daten sind in das jeweilige SST-Template einzukopieren.</t>
  </si>
  <si>
    <t>Output fields: data are to be copied into the respective SST-Template.</t>
  </si>
  <si>
    <t>T.07.29</t>
  </si>
  <si>
    <t>Nachsilbe zur Bezeichnung des ausgegebenen FDS</t>
  </si>
  <si>
    <t>Suffix for the description of the output FDS</t>
  </si>
  <si>
    <t>in das Blatt Intro der Mutter einzukopieren</t>
  </si>
  <si>
    <t>to be copied into the Sheet Intro of the mother</t>
  </si>
  <si>
    <t>T.07.30</t>
  </si>
  <si>
    <t>Zelle B208 - B254: Neue Einführung der fortlaufenden Nummerierung (d.h. Korrektur von 162a).</t>
  </si>
  <si>
    <t>199)</t>
  </si>
  <si>
    <t>31.10.2023</t>
  </si>
  <si>
    <t>Zeile 11 gestrichen, da MVM Teil der Liabilities</t>
  </si>
  <si>
    <t>Formelbezug in Zeile 19 zu Zeile 11 gestrichen, da MVM Teil der Liabilities</t>
  </si>
  <si>
    <t>Spalte C: MVM in Formeln gestrichen, da MVM Teil der Liabilities</t>
  </si>
  <si>
    <t>SST-Nettoaktiven</t>
  </si>
  <si>
    <t>SST Net Assets</t>
  </si>
  <si>
    <t>SSTNettoaktiven</t>
  </si>
  <si>
    <t>unrealisierte Gewinne / Verluste auf Versicherungsverpflichtungen BVG</t>
  </si>
  <si>
    <t>SSTNettoaktiven - PVÜ</t>
  </si>
  <si>
    <t>SSTNettoaktiven - PVÜ- ST</t>
  </si>
  <si>
    <t>Zeile 10: Kernkapital durch SST-Nettoaktiven ersetzt</t>
  </si>
  <si>
    <t>Zeile 14: Versicherungstechnische Rückstellungen durch Versicherungsverpflichtungen ersetzt</t>
  </si>
  <si>
    <t>EK nach OR</t>
  </si>
  <si>
    <t>Spalte E: Formeln vereinfacht</t>
  </si>
  <si>
    <t xml:space="preserve">Marktkonformer Wert bzw. Best Estimate  </t>
  </si>
  <si>
    <t xml:space="preserve">Market conform value resp. best estimate  </t>
  </si>
  <si>
    <t>Bewertungsdifferenzen zw. statutarischem und marktkonformem Wert</t>
  </si>
  <si>
    <t>Différences d'évaluation entre la valeur statutaire et conforme au marché</t>
  </si>
  <si>
    <t>Differences between the statutory and the market conform value</t>
  </si>
  <si>
    <t>Differenzen zwischen statutarischer und marktkonformer Bewertung (SST-Bilanz)</t>
  </si>
  <si>
    <t>Differences entre l'évaluation statutaire et conforme au marché</t>
  </si>
  <si>
    <t>Differences between the statutory and the market conform valuation</t>
  </si>
  <si>
    <t>In der Spalte M dürfen nur noch effektive Bewertungsdifferenzen aufgeführt sein. Diese werden mittels der im Blatt 8 „SST Balance“ eingegebenen marktkonformen Werte automatisch berechnet.</t>
  </si>
  <si>
    <r>
      <rPr>
        <sz val="11"/>
        <color theme="1"/>
        <rFont val="Arial"/>
        <family val="2"/>
      </rPr>
      <t xml:space="preserve">Seules les différences d’évaluation effectives peuvent encore être citées dans la colonne M. Elles sont automatiquement calculées à l’aide des valeurs conforme au marché inscrites dans l’onglet 8 </t>
    </r>
    <r>
      <rPr>
        <i/>
        <sz val="11"/>
        <color rgb="FF000000"/>
        <rFont val="Arial"/>
        <family val="2"/>
      </rPr>
      <t>SST Balance</t>
    </r>
    <r>
      <rPr>
        <sz val="11"/>
        <color theme="1"/>
        <rFont val="Arial"/>
        <family val="2"/>
      </rPr>
      <t>.</t>
    </r>
  </si>
  <si>
    <r>
      <rPr>
        <sz val="11"/>
        <color theme="1"/>
        <rFont val="Arial"/>
        <family val="2"/>
      </rPr>
      <t xml:space="preserve">Column M now may include only effective valuation differences, which are calculated automatically based on the market conform values entered in Sheet 8 of </t>
    </r>
    <r>
      <rPr>
        <i/>
        <sz val="11"/>
        <color rgb="FF000000"/>
        <rFont val="Arial"/>
        <family val="2"/>
      </rPr>
      <t>SST Balance</t>
    </r>
    <r>
      <rPr>
        <sz val="11"/>
        <color rgb="FF000000"/>
        <rFont val="Arial"/>
        <family val="2"/>
      </rPr>
      <t>.</t>
    </r>
  </si>
  <si>
    <t xml:space="preserve">Valeur conforme au marché resp. Best Estimate  </t>
  </si>
  <si>
    <t>sämtliche Blätter</t>
  </si>
  <si>
    <t>marktnah -&gt; marktkonform</t>
  </si>
  <si>
    <r>
      <t xml:space="preserve">Das </t>
    </r>
    <r>
      <rPr>
        <b/>
        <sz val="11"/>
        <rFont val="Arial"/>
        <family val="2"/>
      </rPr>
      <t xml:space="preserve">Tabellenblatt </t>
    </r>
    <r>
      <rPr>
        <b/>
        <i/>
        <sz val="11"/>
        <rFont val="Arial"/>
        <family val="2"/>
      </rPr>
      <t>Differences_Stat_SSTBalance</t>
    </r>
    <r>
      <rPr>
        <sz val="11"/>
        <rFont val="Arial"/>
        <family val="2"/>
      </rPr>
      <t xml:space="preserve"> dient dazu, Bewertungsdifferenzen zwischen statutarischer und SST-Bilanz aufzuzeigen. </t>
    </r>
  </si>
  <si>
    <t>Es dient der Plausibilisierung der Konsistenz zwischen statutarischer und SST-Bilanz und gibt Auskunft über stille Reserven.</t>
  </si>
  <si>
    <r>
      <rPr>
        <sz val="11"/>
        <color theme="1"/>
        <rFont val="Arial"/>
        <family val="2"/>
      </rPr>
      <t>L’</t>
    </r>
    <r>
      <rPr>
        <b/>
        <sz val="11"/>
        <color rgb="FF000000"/>
        <rFont val="Arial"/>
        <family val="2"/>
      </rPr>
      <t xml:space="preserve">onglet </t>
    </r>
    <r>
      <rPr>
        <b/>
        <i/>
        <sz val="11"/>
        <color rgb="FF000000"/>
        <rFont val="Arial"/>
        <family val="2"/>
      </rPr>
      <t>Differences_Stat_SSTBalance</t>
    </r>
    <r>
      <rPr>
        <sz val="11"/>
        <color rgb="FF000000"/>
        <rFont val="Arial"/>
        <family val="2"/>
      </rPr>
      <t xml:space="preserve"> a pour objectif de présenter les différences d’évaluation entre le bilan statutaire et le bilan SST. </t>
    </r>
  </si>
  <si>
    <t>Il vise à confirmer la cohérence entre le bilan statutaire et le bilan SST et renseigne sur les réserves latentes.</t>
  </si>
  <si>
    <r>
      <rPr>
        <sz val="11"/>
        <color theme="1"/>
        <rFont val="Arial"/>
        <family val="2"/>
      </rPr>
      <t xml:space="preserve">The </t>
    </r>
    <r>
      <rPr>
        <b/>
        <i/>
        <sz val="11"/>
        <color rgb="FF000000"/>
        <rFont val="Arial"/>
        <family val="2"/>
      </rPr>
      <t>Differences_Stat_SSTBalance</t>
    </r>
    <r>
      <rPr>
        <b/>
        <sz val="11"/>
        <color rgb="FF000000"/>
        <rFont val="Arial"/>
        <family val="2"/>
      </rPr>
      <t xml:space="preserve"> worksheet</t>
    </r>
    <r>
      <rPr>
        <sz val="11"/>
        <color rgb="FF000000"/>
        <rFont val="Arial"/>
        <family val="2"/>
      </rPr>
      <t xml:space="preserve"> is used for showing valuation differences between statutory and SST balance sheets. </t>
    </r>
  </si>
  <si>
    <t>It establishes the plausibility of the consistency between the statutory and the SST balance sheets and informs about hidden reserves.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</si>
</sst>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* #,##0.00\ _€_-;\-* #,##0.00\ _€_-;_-* &quot;-&quot;??\ _€_-;_-@_-"/>
    <numFmt numFmtId="165" formatCode="d/mm/yy;@"/>
    <numFmt numFmtId="166" formatCode="dd/mmm/yyyy"/>
    <numFmt numFmtId="167" formatCode="dd/mm/yyyy;@"/>
    <numFmt numFmtId="168" formatCode="&quot;+&quot;;&quot;-&quot;;"/>
  </numFmts>
  <fonts count="10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rgb="FF21212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6"/>
      <color rgb="FF002D64"/>
      <name val="Arial"/>
      <family val="2"/>
    </font>
    <font>
      <b/>
      <sz val="10"/>
      <color rgb="FF002D64"/>
      <name val="Arial"/>
      <family val="2"/>
    </font>
    <font>
      <i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name val="Arial"/>
      <family val="2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4ECF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rgb="FF00539E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rgb="FFFAD6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rgb="FFFDE2CE"/>
      </patternFill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/>
      <top style="thin">
        <color auto="1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</borders>
  <cellStyleXfs count="59">
    <xf numFmtId="0" fontId="0" fillId="0" borderId="0"/>
    <xf numFmtId="9" fontId="66" fillId="0" borderId="0" applyFont="0" applyFill="0" applyBorder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43" fontId="66" fillId="0" borderId="0" applyFont="0" applyFill="0" applyBorder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41" fillId="0" borderId="0"/>
    <xf numFmtId="9" fontId="4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31" fillId="0" borderId="0"/>
    <xf numFmtId="0" fontId="68" fillId="3" borderId="14" applyNumberFormat="0" applyAlignment="0" applyProtection="0"/>
    <xf numFmtId="0" fontId="69" fillId="4" borderId="15" applyNumberFormat="0" applyAlignment="0" applyProtection="0"/>
    <xf numFmtId="43" fontId="66" fillId="0" borderId="0" applyFont="0" applyFill="0" applyBorder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43" fontId="66" fillId="0" borderId="0" applyFont="0" applyFill="0" applyBorder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68" fillId="3" borderId="14" applyNumberFormat="0" applyAlignment="0" applyProtection="0"/>
    <xf numFmtId="0" fontId="69" fillId="4" borderId="15" applyNumberFormat="0" applyAlignment="0" applyProtection="0"/>
    <xf numFmtId="43" fontId="66" fillId="0" borderId="0" applyFont="0" applyFill="0" applyBorder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69" fillId="4" borderId="15" applyNumberFormat="0" applyAlignment="0" applyProtection="0"/>
    <xf numFmtId="0" fontId="68" fillId="3" borderId="14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66" fillId="0" borderId="0" applyFont="0" applyFill="0" applyBorder="0" applyAlignment="0" applyProtection="0"/>
  </cellStyleXfs>
  <cellXfs count="581">
    <xf numFmtId="0" fontId="0" fillId="0" borderId="0" xfId="0"/>
    <xf numFmtId="0" fontId="60" fillId="0" borderId="0" xfId="0" applyFont="1" applyAlignment="1">
      <alignment horizontal="left" vertical="center"/>
    </xf>
    <xf numFmtId="0" fontId="61" fillId="0" borderId="0" xfId="0" applyFont="1"/>
    <xf numFmtId="0" fontId="62" fillId="0" borderId="0" xfId="0" applyFont="1" applyFill="1" applyBorder="1"/>
    <xf numFmtId="0" fontId="0" fillId="0" borderId="0" xfId="0" applyAlignment="1">
      <alignment vertical="center"/>
    </xf>
    <xf numFmtId="0" fontId="71" fillId="0" borderId="0" xfId="0" applyFont="1"/>
    <xf numFmtId="1" fontId="64" fillId="6" borderId="13" xfId="0" applyNumberFormat="1" applyFont="1" applyFill="1" applyBorder="1"/>
    <xf numFmtId="0" fontId="64" fillId="6" borderId="2" xfId="0" applyFont="1" applyFill="1" applyBorder="1"/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1" fontId="74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58" fillId="0" borderId="0" xfId="0" applyFont="1"/>
    <xf numFmtId="0" fontId="64" fillId="0" borderId="0" xfId="0" applyFont="1" applyFill="1"/>
    <xf numFmtId="0" fontId="58" fillId="0" borderId="0" xfId="0" applyFont="1" applyFill="1"/>
    <xf numFmtId="0" fontId="58" fillId="0" borderId="0" xfId="0" applyFont="1" applyBorder="1"/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64" fillId="6" borderId="1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/>
    </xf>
    <xf numFmtId="0" fontId="57" fillId="0" borderId="0" xfId="0" applyFont="1"/>
    <xf numFmtId="0" fontId="57" fillId="0" borderId="22" xfId="0" applyFont="1" applyBorder="1"/>
    <xf numFmtId="0" fontId="57" fillId="0" borderId="27" xfId="0" applyFont="1" applyBorder="1"/>
    <xf numFmtId="0" fontId="57" fillId="0" borderId="0" xfId="0" applyFont="1" applyFill="1" applyBorder="1"/>
    <xf numFmtId="0" fontId="57" fillId="0" borderId="0" xfId="0" applyFont="1" applyFill="1"/>
    <xf numFmtId="0" fontId="57" fillId="0" borderId="0" xfId="0" applyFont="1" applyBorder="1"/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57" fillId="7" borderId="4" xfId="0" applyFont="1" applyFill="1" applyBorder="1" applyAlignment="1">
      <alignment vertical="center"/>
    </xf>
    <xf numFmtId="1" fontId="57" fillId="2" borderId="1" xfId="0" applyNumberFormat="1" applyFont="1" applyFill="1" applyBorder="1" applyAlignment="1">
      <alignment vertical="center"/>
    </xf>
    <xf numFmtId="166" fontId="57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horizontal="left" indent="1"/>
    </xf>
    <xf numFmtId="0" fontId="57" fillId="0" borderId="0" xfId="0" applyFont="1" applyBorder="1" applyAlignment="1">
      <alignment horizontal="left" indent="1"/>
    </xf>
    <xf numFmtId="0" fontId="57" fillId="7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inden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67" fillId="0" borderId="0" xfId="0" applyFont="1" applyFill="1"/>
    <xf numFmtId="3" fontId="67" fillId="7" borderId="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7" xfId="0" applyNumberFormat="1" applyFont="1" applyFill="1" applyBorder="1" applyAlignment="1">
      <alignment horizontal="left" vertical="center"/>
    </xf>
    <xf numFmtId="3" fontId="67" fillId="7" borderId="23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25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32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Fill="1" applyBorder="1" applyAlignment="1">
      <alignment horizontal="left" vertical="center"/>
    </xf>
    <xf numFmtId="3" fontId="67" fillId="0" borderId="0" xfId="0" applyNumberFormat="1" applyFont="1" applyFill="1" applyBorder="1" applyAlignment="1">
      <alignment horizontal="left" vertical="top" wrapText="1"/>
    </xf>
    <xf numFmtId="1" fontId="67" fillId="0" borderId="0" xfId="0" applyNumberFormat="1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vertical="center" wrapText="1"/>
    </xf>
    <xf numFmtId="1" fontId="67" fillId="0" borderId="0" xfId="0" applyNumberFormat="1" applyFont="1" applyFill="1" applyBorder="1" applyAlignment="1">
      <alignment horizontal="right" vertical="center"/>
    </xf>
    <xf numFmtId="1" fontId="67" fillId="0" borderId="0" xfId="0" applyNumberFormat="1" applyFont="1" applyFill="1" applyAlignment="1">
      <alignment vertical="center" wrapText="1"/>
    </xf>
    <xf numFmtId="0" fontId="67" fillId="0" borderId="44" xfId="0" applyFont="1" applyFill="1" applyBorder="1" applyAlignment="1">
      <alignment horizontal="left" vertical="center"/>
    </xf>
    <xf numFmtId="1" fontId="67" fillId="0" borderId="44" xfId="0" applyNumberFormat="1" applyFont="1" applyFill="1" applyBorder="1" applyAlignment="1">
      <alignment horizontal="right" vertical="center"/>
    </xf>
    <xf numFmtId="1" fontId="80" fillId="0" borderId="44" xfId="0" applyNumberFormat="1" applyFont="1" applyFill="1" applyBorder="1" applyAlignment="1">
      <alignment horizontal="center" vertical="center" wrapText="1"/>
    </xf>
    <xf numFmtId="0" fontId="81" fillId="2" borderId="42" xfId="0" applyFont="1" applyFill="1" applyBorder="1" applyAlignment="1">
      <alignment horizontal="left" vertical="center"/>
    </xf>
    <xf numFmtId="0" fontId="67" fillId="2" borderId="42" xfId="0" applyFont="1" applyFill="1" applyBorder="1" applyAlignment="1">
      <alignment horizontal="left" vertical="center"/>
    </xf>
    <xf numFmtId="0" fontId="80" fillId="2" borderId="42" xfId="0" applyFont="1" applyFill="1" applyBorder="1" applyAlignment="1">
      <alignment horizontal="center" vertical="center" wrapText="1"/>
    </xf>
    <xf numFmtId="1" fontId="67" fillId="2" borderId="44" xfId="0" applyNumberFormat="1" applyFont="1" applyFill="1" applyBorder="1" applyAlignment="1">
      <alignment vertical="center" wrapText="1"/>
    </xf>
    <xf numFmtId="3" fontId="67" fillId="2" borderId="44" xfId="0" applyNumberFormat="1" applyFont="1" applyFill="1" applyBorder="1" applyAlignment="1">
      <alignment horizontal="center" vertical="center" wrapText="1"/>
    </xf>
    <xf numFmtId="3" fontId="67" fillId="2" borderId="44" xfId="0" applyNumberFormat="1" applyFont="1" applyFill="1" applyBorder="1" applyAlignment="1">
      <alignment horizontal="left" vertical="center" wrapText="1"/>
    </xf>
    <xf numFmtId="0" fontId="67" fillId="2" borderId="44" xfId="0" applyFont="1" applyFill="1" applyBorder="1" applyAlignment="1">
      <alignment vertical="center" wrapText="1"/>
    </xf>
    <xf numFmtId="14" fontId="67" fillId="2" borderId="44" xfId="0" applyNumberFormat="1" applyFont="1" applyFill="1" applyBorder="1" applyAlignment="1">
      <alignment horizontal="center" vertical="center" wrapText="1"/>
    </xf>
    <xf numFmtId="1" fontId="67" fillId="2" borderId="44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Fill="1" applyBorder="1" applyAlignment="1">
      <alignment horizontal="left" vertical="center"/>
    </xf>
    <xf numFmtId="0" fontId="81" fillId="0" borderId="22" xfId="0" applyFont="1" applyFill="1" applyBorder="1" applyAlignment="1">
      <alignment vertical="center"/>
    </xf>
    <xf numFmtId="3" fontId="67" fillId="0" borderId="22" xfId="0" applyNumberFormat="1" applyFont="1" applyFill="1" applyBorder="1" applyAlignment="1">
      <alignment horizontal="right" vertical="center"/>
    </xf>
    <xf numFmtId="3" fontId="81" fillId="0" borderId="22" xfId="0" applyNumberFormat="1" applyFont="1" applyFill="1" applyBorder="1" applyAlignment="1">
      <alignment vertical="center"/>
    </xf>
    <xf numFmtId="0" fontId="67" fillId="0" borderId="22" xfId="0" applyFont="1" applyFill="1" applyBorder="1" applyAlignment="1">
      <alignment vertical="center"/>
    </xf>
    <xf numFmtId="3" fontId="67" fillId="0" borderId="27" xfId="0" applyNumberFormat="1" applyFont="1" applyFill="1" applyBorder="1" applyAlignment="1">
      <alignment vertical="center"/>
    </xf>
    <xf numFmtId="0" fontId="79" fillId="0" borderId="27" xfId="0" applyFont="1" applyFill="1" applyBorder="1" applyAlignment="1">
      <alignment horizontal="left" vertical="center"/>
    </xf>
    <xf numFmtId="3" fontId="79" fillId="0" borderId="29" xfId="0" applyNumberFormat="1" applyFont="1" applyFill="1" applyBorder="1" applyAlignment="1">
      <alignment horizontal="right" vertical="center"/>
    </xf>
    <xf numFmtId="3" fontId="79" fillId="0" borderId="25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3" fontId="67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1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5" xfId="0" applyNumberFormat="1" applyFont="1" applyFill="1" applyBorder="1" applyAlignment="1">
      <alignment horizontal="right" vertical="center"/>
    </xf>
    <xf numFmtId="0" fontId="67" fillId="0" borderId="27" xfId="0" applyFont="1" applyFill="1" applyBorder="1" applyAlignment="1">
      <alignment vertical="center"/>
    </xf>
    <xf numFmtId="0" fontId="67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left" vertical="top" wrapText="1"/>
    </xf>
    <xf numFmtId="3" fontId="67" fillId="0" borderId="27" xfId="0" quotePrefix="1" applyNumberFormat="1" applyFont="1" applyFill="1" applyBorder="1" applyAlignment="1">
      <alignment horizontal="left" vertical="center"/>
    </xf>
    <xf numFmtId="3" fontId="67" fillId="7" borderId="31" xfId="0" applyNumberFormat="1" applyFont="1" applyFill="1" applyBorder="1" applyAlignment="1" applyProtection="1">
      <alignment horizontal="right" vertical="center" wrapText="1"/>
      <protection locked="0"/>
    </xf>
    <xf numFmtId="3" fontId="67" fillId="2" borderId="27" xfId="0" applyNumberFormat="1" applyFont="1" applyFill="1" applyBorder="1" applyAlignment="1">
      <alignment vertical="center"/>
    </xf>
    <xf numFmtId="3" fontId="67" fillId="2" borderId="27" xfId="0" applyNumberFormat="1" applyFont="1" applyFill="1" applyBorder="1" applyAlignment="1">
      <alignment horizontal="left" vertical="center"/>
    </xf>
    <xf numFmtId="0" fontId="67" fillId="2" borderId="27" xfId="0" applyFont="1" applyFill="1" applyBorder="1" applyAlignment="1">
      <alignment vertical="center"/>
    </xf>
    <xf numFmtId="3" fontId="67" fillId="2" borderId="27" xfId="0" applyNumberFormat="1" applyFont="1" applyFill="1" applyBorder="1" applyAlignment="1">
      <alignment horizontal="right" vertical="center"/>
    </xf>
    <xf numFmtId="3" fontId="79" fillId="0" borderId="27" xfId="0" applyNumberFormat="1" applyFont="1" applyFill="1" applyBorder="1" applyAlignment="1">
      <alignment horizontal="right" vertical="center"/>
    </xf>
    <xf numFmtId="3" fontId="79" fillId="0" borderId="27" xfId="0" applyNumberFormat="1" applyFont="1" applyFill="1" applyBorder="1" applyAlignment="1">
      <alignment horizontal="left" vertical="center"/>
    </xf>
    <xf numFmtId="3" fontId="67" fillId="0" borderId="29" xfId="0" applyNumberFormat="1" applyFont="1" applyFill="1" applyBorder="1" applyAlignment="1">
      <alignment horizontal="right" vertical="center"/>
    </xf>
    <xf numFmtId="3" fontId="67" fillId="0" borderId="27" xfId="0" applyNumberFormat="1" applyFont="1" applyFill="1" applyBorder="1" applyAlignment="1">
      <alignment horizontal="right" vertical="center"/>
    </xf>
    <xf numFmtId="3" fontId="67" fillId="2" borderId="27" xfId="0" quotePrefix="1" applyNumberFormat="1" applyFont="1" applyFill="1" applyBorder="1" applyAlignment="1">
      <alignment horizontal="left" vertical="center"/>
    </xf>
    <xf numFmtId="0" fontId="67" fillId="2" borderId="27" xfId="0" applyFont="1" applyFill="1" applyBorder="1" applyAlignment="1">
      <alignment horizontal="left" vertical="center"/>
    </xf>
    <xf numFmtId="0" fontId="67" fillId="2" borderId="0" xfId="0" applyFont="1" applyFill="1" applyBorder="1" applyAlignment="1">
      <alignment vertical="center"/>
    </xf>
    <xf numFmtId="3" fontId="67" fillId="7" borderId="6" xfId="0" applyNumberFormat="1" applyFont="1" applyFill="1" applyBorder="1" applyAlignment="1" applyProtection="1">
      <alignment horizontal="right" vertical="center" wrapText="1"/>
      <protection locked="0"/>
    </xf>
    <xf numFmtId="0" fontId="67" fillId="2" borderId="22" xfId="0" applyFont="1" applyFill="1" applyBorder="1" applyAlignment="1">
      <alignment vertical="center"/>
    </xf>
    <xf numFmtId="3" fontId="67" fillId="7" borderId="21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38" xfId="0" applyNumberFormat="1" applyFont="1" applyFill="1" applyBorder="1" applyAlignment="1" applyProtection="1">
      <alignment horizontal="right" vertical="center" wrapText="1"/>
      <protection locked="0"/>
    </xf>
    <xf numFmtId="3" fontId="72" fillId="0" borderId="27" xfId="0" applyNumberFormat="1" applyFont="1" applyFill="1" applyBorder="1" applyAlignment="1">
      <alignment vertical="center"/>
    </xf>
    <xf numFmtId="3" fontId="72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72" fillId="7" borderId="6" xfId="0" applyNumberFormat="1" applyFont="1" applyFill="1" applyBorder="1" applyAlignment="1" applyProtection="1">
      <alignment horizontal="right" vertical="center" wrapText="1"/>
      <protection locked="0"/>
    </xf>
    <xf numFmtId="3" fontId="72" fillId="0" borderId="27" xfId="0" applyNumberFormat="1" applyFont="1" applyFill="1" applyBorder="1" applyAlignment="1">
      <alignment horizontal="right" vertical="center"/>
    </xf>
    <xf numFmtId="0" fontId="67" fillId="0" borderId="29" xfId="0" applyFont="1" applyFill="1" applyBorder="1" applyAlignment="1">
      <alignment vertical="center"/>
    </xf>
    <xf numFmtId="3" fontId="67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40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45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26" xfId="0" applyFont="1" applyFill="1" applyBorder="1" applyAlignment="1">
      <alignment vertical="center"/>
    </xf>
    <xf numFmtId="3" fontId="67" fillId="7" borderId="20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27" xfId="0" applyNumberFormat="1" applyFont="1" applyFill="1" applyBorder="1" applyAlignment="1">
      <alignment vertical="center"/>
    </xf>
    <xf numFmtId="3" fontId="67" fillId="7" borderId="22" xfId="0" applyNumberFormat="1" applyFont="1" applyFill="1" applyBorder="1" applyAlignment="1" applyProtection="1">
      <alignment horizontal="right" vertical="center" wrapText="1"/>
      <protection locked="0"/>
    </xf>
    <xf numFmtId="3" fontId="72" fillId="2" borderId="27" xfId="0" applyNumberFormat="1" applyFont="1" applyFill="1" applyBorder="1" applyAlignment="1">
      <alignment vertical="center"/>
    </xf>
    <xf numFmtId="0" fontId="67" fillId="0" borderId="27" xfId="0" applyFont="1" applyFill="1" applyBorder="1" applyAlignment="1">
      <alignment horizontal="left" vertical="center"/>
    </xf>
    <xf numFmtId="0" fontId="72" fillId="0" borderId="27" xfId="0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right" vertical="center"/>
    </xf>
    <xf numFmtId="0" fontId="72" fillId="2" borderId="27" xfId="0" applyFont="1" applyFill="1" applyBorder="1" applyAlignment="1">
      <alignment vertical="center"/>
    </xf>
    <xf numFmtId="3" fontId="67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79" fillId="0" borderId="27" xfId="0" applyFont="1" applyFill="1" applyBorder="1" applyAlignment="1">
      <alignment vertical="center"/>
    </xf>
    <xf numFmtId="3" fontId="67" fillId="7" borderId="16" xfId="0" applyNumberFormat="1" applyFont="1" applyFill="1" applyBorder="1" applyAlignment="1" applyProtection="1">
      <alignment horizontal="right" vertical="center" wrapText="1"/>
      <protection locked="0"/>
    </xf>
    <xf numFmtId="14" fontId="79" fillId="0" borderId="27" xfId="0" applyNumberFormat="1" applyFont="1" applyFill="1" applyBorder="1" applyAlignment="1">
      <alignment vertical="center"/>
    </xf>
    <xf numFmtId="3" fontId="72" fillId="0" borderId="27" xfId="0" applyNumberFormat="1" applyFont="1" applyFill="1" applyBorder="1" applyAlignment="1">
      <alignment horizontal="left" vertical="center"/>
    </xf>
    <xf numFmtId="3" fontId="72" fillId="2" borderId="27" xfId="0" applyNumberFormat="1" applyFont="1" applyFill="1" applyBorder="1" applyAlignment="1">
      <alignment horizontal="left" vertical="center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3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72" fillId="7" borderId="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7" xfId="0" applyNumberFormat="1" applyFont="1" applyFill="1" applyBorder="1" applyAlignment="1">
      <alignment horizontal="left" vertical="top"/>
    </xf>
    <xf numFmtId="0" fontId="79" fillId="0" borderId="27" xfId="0" applyFont="1" applyFill="1" applyBorder="1" applyAlignment="1">
      <alignment vertical="center"/>
    </xf>
    <xf numFmtId="3" fontId="67" fillId="0" borderId="27" xfId="0" quotePrefix="1" applyNumberFormat="1" applyFont="1" applyFill="1" applyBorder="1" applyAlignment="1">
      <alignment vertical="center"/>
    </xf>
    <xf numFmtId="0" fontId="81" fillId="0" borderId="27" xfId="0" applyFont="1" applyFill="1" applyBorder="1" applyAlignment="1">
      <alignment vertical="center"/>
    </xf>
    <xf numFmtId="3" fontId="67" fillId="7" borderId="19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24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27" xfId="0" applyFont="1" applyFill="1" applyBorder="1" applyAlignment="1">
      <alignment vertical="center"/>
    </xf>
    <xf numFmtId="3" fontId="67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27" xfId="0" applyFont="1" applyFill="1" applyBorder="1" applyAlignment="1">
      <alignment horizontal="left" vertical="center" wrapText="1"/>
    </xf>
    <xf numFmtId="3" fontId="79" fillId="2" borderId="27" xfId="0" applyNumberFormat="1" applyFont="1" applyFill="1" applyBorder="1" applyAlignment="1">
      <alignment horizontal="left" vertical="center"/>
    </xf>
    <xf numFmtId="3" fontId="67" fillId="2" borderId="22" xfId="0" applyNumberFormat="1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right"/>
    </xf>
    <xf numFmtId="0" fontId="67" fillId="0" borderId="28" xfId="0" applyFont="1" applyFill="1" applyBorder="1" applyAlignment="1">
      <alignment vertical="center"/>
    </xf>
    <xf numFmtId="3" fontId="67" fillId="7" borderId="37" xfId="0" applyNumberFormat="1" applyFont="1" applyFill="1" applyBorder="1" applyAlignment="1" applyProtection="1">
      <alignment horizontal="right" vertical="center" wrapText="1"/>
      <protection locked="0"/>
    </xf>
    <xf numFmtId="0" fontId="81" fillId="2" borderId="27" xfId="0" applyFont="1" applyFill="1" applyBorder="1" applyAlignment="1">
      <alignment vertical="center"/>
    </xf>
    <xf numFmtId="0" fontId="67" fillId="0" borderId="27" xfId="0" applyFont="1" applyFill="1" applyBorder="1" applyAlignment="1">
      <alignment horizontal="left" vertical="center" wrapText="1"/>
    </xf>
    <xf numFmtId="3" fontId="79" fillId="0" borderId="27" xfId="0" quotePrefix="1" applyNumberFormat="1" applyFont="1" applyFill="1" applyBorder="1" applyAlignment="1">
      <alignment horizontal="left" vertical="center"/>
    </xf>
    <xf numFmtId="0" fontId="79" fillId="2" borderId="27" xfId="0" applyFont="1" applyFill="1" applyBorder="1" applyAlignment="1">
      <alignment vertical="center"/>
    </xf>
    <xf numFmtId="0" fontId="67" fillId="2" borderId="27" xfId="0" applyFont="1" applyFill="1" applyBorder="1" applyAlignment="1">
      <alignment vertical="center"/>
    </xf>
    <xf numFmtId="3" fontId="67" fillId="0" borderId="28" xfId="0" quotePrefix="1" applyNumberFormat="1" applyFont="1" applyFill="1" applyBorder="1" applyAlignment="1">
      <alignment horizontal="left" vertical="center"/>
    </xf>
    <xf numFmtId="0" fontId="81" fillId="0" borderId="28" xfId="0" applyFont="1" applyFill="1" applyBorder="1" applyAlignment="1">
      <alignment vertical="center"/>
    </xf>
    <xf numFmtId="3" fontId="79" fillId="0" borderId="28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left" vertical="center" wrapText="1"/>
    </xf>
    <xf numFmtId="3" fontId="67" fillId="0" borderId="0" xfId="0" applyNumberFormat="1" applyFont="1" applyFill="1" applyBorder="1"/>
    <xf numFmtId="3" fontId="67" fillId="0" borderId="0" xfId="0" applyNumberFormat="1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right" vertical="center"/>
    </xf>
    <xf numFmtId="0" fontId="79" fillId="0" borderId="0" xfId="0" quotePrefix="1" applyFont="1" applyFill="1" applyBorder="1" applyAlignment="1">
      <alignment vertical="center"/>
    </xf>
    <xf numFmtId="0" fontId="0" fillId="0" borderId="0" xfId="0"/>
    <xf numFmtId="0" fontId="83" fillId="0" borderId="0" xfId="0" applyFont="1" applyAlignment="1">
      <alignment wrapText="1"/>
    </xf>
    <xf numFmtId="0" fontId="83" fillId="0" borderId="0" xfId="0" applyFont="1"/>
    <xf numFmtId="0" fontId="83" fillId="0" borderId="0" xfId="0" applyFont="1" applyAlignment="1">
      <alignment horizontal="left" wrapText="1"/>
    </xf>
    <xf numFmtId="0" fontId="83" fillId="0" borderId="0" xfId="0" applyFont="1" applyAlignment="1">
      <alignment vertical="top" wrapText="1"/>
    </xf>
    <xf numFmtId="0" fontId="83" fillId="0" borderId="0" xfId="0" applyFont="1" applyAlignment="1">
      <alignment horizontal="left" vertical="top" wrapText="1"/>
    </xf>
    <xf numFmtId="0" fontId="83" fillId="0" borderId="43" xfId="0" applyFont="1" applyBorder="1" applyAlignment="1">
      <alignment vertical="top" wrapText="1"/>
    </xf>
    <xf numFmtId="0" fontId="83" fillId="0" borderId="43" xfId="0" applyFont="1" applyBorder="1" applyAlignment="1">
      <alignment horizontal="left" vertical="top" wrapText="1"/>
    </xf>
    <xf numFmtId="0" fontId="83" fillId="0" borderId="0" xfId="0" applyFont="1" applyBorder="1"/>
    <xf numFmtId="0" fontId="84" fillId="0" borderId="0" xfId="0" applyFont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3" fontId="86" fillId="0" borderId="0" xfId="0" applyNumberFormat="1" applyFont="1" applyFill="1" applyBorder="1" applyAlignment="1">
      <alignment vertical="center"/>
    </xf>
    <xf numFmtId="3" fontId="84" fillId="0" borderId="0" xfId="0" applyNumberFormat="1" applyFont="1" applyFill="1" applyBorder="1" applyAlignment="1">
      <alignment horizontal="right" vertical="center" wrapText="1"/>
    </xf>
    <xf numFmtId="168" fontId="87" fillId="0" borderId="0" xfId="0" quotePrefix="1" applyNumberFormat="1" applyFont="1" applyFill="1" applyBorder="1" applyAlignment="1">
      <alignment horizontal="center" vertical="center"/>
    </xf>
    <xf numFmtId="3" fontId="83" fillId="0" borderId="0" xfId="0" quotePrefix="1" applyNumberFormat="1" applyFont="1" applyFill="1" applyBorder="1" applyAlignment="1">
      <alignment horizontal="right" vertical="center" wrapText="1"/>
    </xf>
    <xf numFmtId="3" fontId="8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3" fillId="0" borderId="27" xfId="0" applyNumberFormat="1" applyFont="1" applyFill="1" applyBorder="1" applyAlignment="1">
      <alignment horizontal="left" vertical="top" wrapText="1"/>
    </xf>
    <xf numFmtId="3" fontId="83" fillId="7" borderId="27" xfId="0" applyNumberFormat="1" applyFont="1" applyFill="1" applyBorder="1" applyAlignment="1" applyProtection="1">
      <alignment horizontal="right" vertical="center" wrapText="1"/>
      <protection locked="0"/>
    </xf>
    <xf numFmtId="3" fontId="86" fillId="8" borderId="27" xfId="0" applyNumberFormat="1" applyFont="1" applyFill="1" applyBorder="1" applyAlignment="1" applyProtection="1">
      <alignment horizontal="right" vertical="center" wrapText="1"/>
      <protection locked="0"/>
    </xf>
    <xf numFmtId="3" fontId="83" fillId="0" borderId="27" xfId="0" quotePrefix="1" applyNumberFormat="1" applyFont="1" applyFill="1" applyBorder="1" applyAlignment="1">
      <alignment horizontal="right" vertical="center" wrapText="1"/>
    </xf>
    <xf numFmtId="3" fontId="86" fillId="7" borderId="27" xfId="0" applyNumberFormat="1" applyFont="1" applyFill="1" applyBorder="1" applyAlignment="1" applyProtection="1">
      <alignment horizontal="right" vertical="center" wrapText="1"/>
      <protection locked="0"/>
    </xf>
    <xf numFmtId="3" fontId="83" fillId="0" borderId="0" xfId="0" applyNumberFormat="1" applyFont="1" applyFill="1" applyBorder="1"/>
    <xf numFmtId="3" fontId="83" fillId="0" borderId="0" xfId="0" applyNumberFormat="1" applyFont="1" applyFill="1" applyBorder="1" applyAlignment="1">
      <alignment horizontal="left" vertical="top" wrapText="1"/>
    </xf>
    <xf numFmtId="3" fontId="83" fillId="0" borderId="0" xfId="0" applyNumberFormat="1" applyFont="1" applyFill="1" applyBorder="1" applyAlignment="1">
      <alignment horizontal="left" vertical="top" wrapText="1"/>
    </xf>
    <xf numFmtId="3" fontId="81" fillId="0" borderId="0" xfId="0" applyNumberFormat="1" applyFont="1" applyFill="1" applyBorder="1"/>
    <xf numFmtId="3" fontId="86" fillId="0" borderId="29" xfId="0" applyNumberFormat="1" applyFont="1" applyFill="1" applyBorder="1" applyAlignment="1">
      <alignment vertical="center"/>
    </xf>
    <xf numFmtId="3" fontId="84" fillId="0" borderId="27" xfId="0" applyNumberFormat="1" applyFont="1" applyFill="1" applyBorder="1" applyAlignment="1">
      <alignment horizontal="right" vertical="center" wrapText="1"/>
    </xf>
    <xf numFmtId="3" fontId="84" fillId="0" borderId="0" xfId="0" applyNumberFormat="1" applyFont="1" applyFill="1" applyBorder="1" applyAlignment="1">
      <alignment horizontal="right" vertical="center" wrapText="1"/>
    </xf>
    <xf numFmtId="3" fontId="83" fillId="0" borderId="27" xfId="0" applyNumberFormat="1" applyFont="1" applyFill="1" applyBorder="1" applyAlignment="1">
      <alignment horizontal="left" wrapText="1"/>
    </xf>
    <xf numFmtId="0" fontId="83" fillId="0" borderId="26" xfId="0" applyFont="1" applyBorder="1"/>
    <xf numFmtId="3" fontId="84" fillId="0" borderId="27" xfId="0" applyNumberFormat="1" applyFont="1" applyFill="1" applyBorder="1" applyAlignment="1">
      <alignment horizontal="right" vertical="center" wrapText="1"/>
    </xf>
    <xf numFmtId="3" fontId="83" fillId="9" borderId="27" xfId="0" applyNumberFormat="1" applyFont="1" applyFill="1" applyBorder="1" applyAlignment="1" applyProtection="1">
      <alignment horizontal="right" vertical="center" wrapText="1"/>
      <protection locked="0"/>
    </xf>
    <xf numFmtId="3" fontId="83" fillId="7" borderId="27" xfId="0" quotePrefix="1" applyNumberFormat="1" applyFont="1" applyFill="1" applyBorder="1" applyAlignment="1">
      <alignment horizontal="right" vertical="center" wrapText="1"/>
    </xf>
    <xf numFmtId="0" fontId="83" fillId="0" borderId="0" xfId="0" applyFont="1" applyAlignment="1">
      <alignment vertical="top"/>
    </xf>
    <xf numFmtId="0" fontId="84" fillId="0" borderId="0" xfId="0" applyFont="1" applyFill="1" applyAlignment="1">
      <alignment vertical="top"/>
    </xf>
    <xf numFmtId="0" fontId="83" fillId="0" borderId="0" xfId="0" applyFont="1" applyFill="1" applyAlignment="1">
      <alignment vertical="top" wrapText="1"/>
    </xf>
    <xf numFmtId="0" fontId="83" fillId="0" borderId="0" xfId="0" applyFont="1" applyFill="1" applyAlignment="1">
      <alignment horizontal="left" vertical="top" wrapText="1"/>
    </xf>
    <xf numFmtId="0" fontId="83" fillId="0" borderId="0" xfId="0" applyFont="1" applyFill="1" applyAlignment="1">
      <alignment vertical="top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right" vertical="center"/>
    </xf>
    <xf numFmtId="3" fontId="67" fillId="0" borderId="0" xfId="0" applyNumberFormat="1" applyFont="1" applyFill="1" applyBorder="1" applyAlignment="1">
      <alignment horizontal="center" vertical="top" wrapText="1"/>
    </xf>
    <xf numFmtId="3" fontId="78" fillId="0" borderId="0" xfId="0" applyNumberFormat="1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top" wrapText="1"/>
    </xf>
    <xf numFmtId="0" fontId="79" fillId="2" borderId="12" xfId="0" applyFont="1" applyFill="1" applyBorder="1" applyAlignment="1">
      <alignment horizontal="left" vertical="center"/>
    </xf>
    <xf numFmtId="0" fontId="79" fillId="2" borderId="3" xfId="0" applyFont="1" applyFill="1" applyBorder="1" applyAlignment="1">
      <alignment horizontal="center" vertical="center"/>
    </xf>
    <xf numFmtId="0" fontId="67" fillId="2" borderId="3" xfId="0" applyFont="1" applyFill="1" applyBorder="1" applyAlignment="1">
      <alignment horizontal="left" vertical="center"/>
    </xf>
    <xf numFmtId="0" fontId="81" fillId="2" borderId="3" xfId="0" applyFont="1" applyFill="1" applyBorder="1" applyAlignment="1">
      <alignment horizontal="center" vertical="center" wrapText="1"/>
    </xf>
    <xf numFmtId="3" fontId="67" fillId="0" borderId="27" xfId="0" applyNumberFormat="1" applyFont="1" applyFill="1" applyBorder="1" applyAlignment="1">
      <alignment horizontal="center" vertical="center"/>
    </xf>
    <xf numFmtId="3" fontId="67" fillId="0" borderId="27" xfId="0" applyNumberFormat="1" applyFont="1" applyFill="1" applyBorder="1" applyAlignment="1">
      <alignment vertical="center"/>
    </xf>
    <xf numFmtId="3" fontId="67" fillId="0" borderId="41" xfId="0" applyNumberFormat="1" applyFont="1" applyFill="1" applyBorder="1" applyAlignment="1">
      <alignment horizontal="right" vertical="center"/>
    </xf>
    <xf numFmtId="168" fontId="67" fillId="0" borderId="27" xfId="0" applyNumberFormat="1" applyFont="1" applyFill="1" applyBorder="1" applyAlignment="1">
      <alignment horizontal="center" vertical="center"/>
    </xf>
    <xf numFmtId="3" fontId="67" fillId="7" borderId="34" xfId="0" applyNumberFormat="1" applyFont="1" applyFill="1" applyBorder="1" applyAlignment="1" applyProtection="1">
      <alignment horizontal="right" vertical="center" wrapText="1"/>
      <protection locked="0"/>
    </xf>
    <xf numFmtId="3" fontId="67" fillId="2" borderId="27" xfId="0" applyNumberFormat="1" applyFont="1" applyFill="1" applyBorder="1" applyAlignment="1">
      <alignment horizontal="center" vertical="center"/>
    </xf>
    <xf numFmtId="3" fontId="67" fillId="2" borderId="27" xfId="0" applyNumberFormat="1" applyFont="1" applyFill="1" applyBorder="1" applyAlignment="1">
      <alignment vertical="center"/>
    </xf>
    <xf numFmtId="3" fontId="67" fillId="0" borderId="27" xfId="0" quotePrefix="1" applyNumberFormat="1" applyFont="1" applyFill="1" applyBorder="1" applyAlignment="1">
      <alignment horizontal="center" vertical="center"/>
    </xf>
    <xf numFmtId="3" fontId="67" fillId="2" borderId="27" xfId="0" quotePrefix="1" applyNumberFormat="1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3" fontId="67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67" fillId="2" borderId="27" xfId="0" applyFont="1" applyFill="1" applyBorder="1" applyAlignment="1">
      <alignment horizontal="center" vertical="center"/>
    </xf>
    <xf numFmtId="3" fontId="6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12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27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41" xfId="0" applyNumberFormat="1" applyFont="1" applyFill="1" applyBorder="1" applyAlignment="1" applyProtection="1">
      <alignment horizontal="right" vertical="center" wrapText="1"/>
      <protection locked="0"/>
    </xf>
    <xf numFmtId="3" fontId="67" fillId="2" borderId="27" xfId="0" applyNumberFormat="1" applyFont="1" applyFill="1" applyBorder="1" applyAlignment="1">
      <alignment horizontal="right"/>
    </xf>
    <xf numFmtId="3" fontId="67" fillId="0" borderId="28" xfId="0" applyNumberFormat="1" applyFont="1" applyFill="1" applyBorder="1" applyAlignment="1">
      <alignment horizontal="left" vertical="center"/>
    </xf>
    <xf numFmtId="3" fontId="67" fillId="0" borderId="28" xfId="0" quotePrefix="1" applyNumberFormat="1" applyFont="1" applyFill="1" applyBorder="1" applyAlignment="1">
      <alignment horizontal="center" vertical="center"/>
    </xf>
    <xf numFmtId="3" fontId="67" fillId="0" borderId="28" xfId="0" applyNumberFormat="1" applyFont="1" applyFill="1" applyBorder="1" applyAlignment="1">
      <alignment horizontal="right" vertical="center"/>
    </xf>
    <xf numFmtId="3" fontId="67" fillId="0" borderId="28" xfId="0" applyNumberFormat="1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left" vertical="center" wrapText="1"/>
    </xf>
    <xf numFmtId="3" fontId="67" fillId="0" borderId="0" xfId="0" applyNumberFormat="1" applyFont="1" applyFill="1" applyBorder="1" applyAlignment="1">
      <alignment horizontal="left" vertical="center"/>
    </xf>
    <xf numFmtId="0" fontId="55" fillId="0" borderId="27" xfId="0" applyFont="1" applyBorder="1"/>
    <xf numFmtId="0" fontId="67" fillId="2" borderId="3" xfId="0" applyFont="1" applyFill="1" applyBorder="1" applyAlignment="1">
      <alignment vertical="top" wrapText="1"/>
    </xf>
    <xf numFmtId="3" fontId="67" fillId="2" borderId="3" xfId="0" applyNumberFormat="1" applyFont="1" applyFill="1" applyBorder="1" applyAlignment="1">
      <alignment vertical="top" wrapText="1"/>
    </xf>
    <xf numFmtId="3" fontId="67" fillId="2" borderId="3" xfId="0" quotePrefix="1" applyNumberFormat="1" applyFont="1" applyFill="1" applyBorder="1" applyAlignment="1">
      <alignment vertical="top" wrapText="1"/>
    </xf>
    <xf numFmtId="0" fontId="67" fillId="2" borderId="13" xfId="0" applyFont="1" applyFill="1" applyBorder="1" applyAlignment="1">
      <alignment horizontal="center" vertical="center"/>
    </xf>
    <xf numFmtId="0" fontId="67" fillId="2" borderId="2" xfId="0" applyFont="1" applyFill="1" applyBorder="1"/>
    <xf numFmtId="0" fontId="49" fillId="0" borderId="27" xfId="0" applyFont="1" applyBorder="1" applyAlignment="1">
      <alignment vertical="top"/>
    </xf>
    <xf numFmtId="0" fontId="57" fillId="0" borderId="27" xfId="0" applyFont="1" applyBorder="1" applyAlignment="1">
      <alignment vertical="top"/>
    </xf>
    <xf numFmtId="0" fontId="53" fillId="0" borderId="27" xfId="0" applyFont="1" applyBorder="1" applyAlignment="1">
      <alignment vertical="top"/>
    </xf>
    <xf numFmtId="0" fontId="71" fillId="0" borderId="0" xfId="0" applyFont="1" applyAlignment="1">
      <alignment vertical="top"/>
    </xf>
    <xf numFmtId="0" fontId="0" fillId="0" borderId="0" xfId="0" applyAlignment="1">
      <alignment vertical="top"/>
    </xf>
    <xf numFmtId="0" fontId="57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left" vertical="top"/>
    </xf>
    <xf numFmtId="0" fontId="57" fillId="0" borderId="4" xfId="0" applyFont="1" applyFill="1" applyBorder="1" applyAlignment="1">
      <alignment vertical="top"/>
    </xf>
    <xf numFmtId="0" fontId="62" fillId="2" borderId="4" xfId="0" applyFont="1" applyFill="1" applyBorder="1" applyAlignment="1">
      <alignment vertical="top"/>
    </xf>
    <xf numFmtId="0" fontId="65" fillId="2" borderId="4" xfId="0" applyFont="1" applyFill="1" applyBorder="1" applyAlignment="1">
      <alignment vertical="top"/>
    </xf>
    <xf numFmtId="0" fontId="55" fillId="0" borderId="27" xfId="0" applyFont="1" applyBorder="1" applyAlignment="1">
      <alignment vertical="top"/>
    </xf>
    <xf numFmtId="0" fontId="67" fillId="0" borderId="27" xfId="0" applyFont="1" applyBorder="1" applyAlignment="1">
      <alignment vertical="top"/>
    </xf>
    <xf numFmtId="0" fontId="54" fillId="0" borderId="27" xfId="0" applyFont="1" applyBorder="1" applyAlignment="1">
      <alignment vertical="top"/>
    </xf>
    <xf numFmtId="0" fontId="52" fillId="0" borderId="27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4" fillId="0" borderId="0" xfId="0" applyFont="1" applyBorder="1" applyAlignment="1">
      <alignment vertical="top"/>
    </xf>
    <xf numFmtId="0" fontId="51" fillId="0" borderId="27" xfId="0" applyFont="1" applyBorder="1" applyAlignment="1">
      <alignment vertical="top"/>
    </xf>
    <xf numFmtId="0" fontId="50" fillId="0" borderId="27" xfId="0" applyFont="1" applyBorder="1" applyAlignment="1">
      <alignment vertical="top"/>
    </xf>
    <xf numFmtId="0" fontId="79" fillId="2" borderId="4" xfId="0" applyFont="1" applyFill="1" applyBorder="1" applyAlignment="1">
      <alignment vertical="top"/>
    </xf>
    <xf numFmtId="0" fontId="67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48" fillId="0" borderId="27" xfId="0" applyFont="1" applyBorder="1" applyAlignment="1">
      <alignment vertical="top"/>
    </xf>
    <xf numFmtId="3" fontId="6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27" xfId="0" applyFont="1" applyBorder="1" applyAlignment="1">
      <alignment vertical="top"/>
    </xf>
    <xf numFmtId="0" fontId="46" fillId="0" borderId="27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3" fontId="67" fillId="7" borderId="18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22" xfId="0" applyNumberFormat="1" applyFont="1" applyFill="1" applyBorder="1" applyAlignment="1">
      <alignment horizontal="right" vertical="center"/>
    </xf>
    <xf numFmtId="3" fontId="67" fillId="2" borderId="11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Border="1" applyAlignment="1">
      <alignment horizontal="right" vertical="center"/>
    </xf>
    <xf numFmtId="3" fontId="79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2" fillId="7" borderId="16" xfId="0" applyNumberFormat="1" applyFont="1" applyFill="1" applyBorder="1" applyAlignment="1" applyProtection="1">
      <alignment horizontal="right" vertical="center" wrapText="1"/>
      <protection locked="0"/>
    </xf>
    <xf numFmtId="3" fontId="72" fillId="7" borderId="18" xfId="0" applyNumberFormat="1" applyFont="1" applyFill="1" applyBorder="1" applyAlignment="1" applyProtection="1">
      <alignment horizontal="right" vertical="center" wrapText="1"/>
      <protection locked="0"/>
    </xf>
    <xf numFmtId="3" fontId="79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79" fillId="7" borderId="8" xfId="0" applyNumberFormat="1" applyFont="1" applyFill="1" applyBorder="1" applyAlignment="1" applyProtection="1">
      <alignment horizontal="right" vertical="center" wrapText="1"/>
      <protection locked="0"/>
    </xf>
    <xf numFmtId="3" fontId="79" fillId="7" borderId="40" xfId="0" applyNumberFormat="1" applyFont="1" applyFill="1" applyBorder="1" applyAlignment="1" applyProtection="1">
      <alignment horizontal="right" vertical="center" wrapText="1"/>
      <protection locked="0"/>
    </xf>
    <xf numFmtId="3" fontId="79" fillId="7" borderId="48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26" xfId="0" applyNumberFormat="1" applyFont="1" applyFill="1" applyBorder="1" applyAlignment="1">
      <alignment horizontal="right" vertical="center"/>
    </xf>
    <xf numFmtId="0" fontId="83" fillId="0" borderId="0" xfId="0" applyFont="1" applyAlignment="1">
      <alignment vertical="top" wrapText="1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wrapText="1"/>
    </xf>
    <xf numFmtId="0" fontId="45" fillId="0" borderId="27" xfId="0" applyFont="1" applyBorder="1" applyAlignment="1">
      <alignment vertical="top"/>
    </xf>
    <xf numFmtId="0" fontId="45" fillId="0" borderId="27" xfId="0" applyFont="1" applyBorder="1" applyAlignment="1">
      <alignment vertical="top" wrapText="1"/>
    </xf>
    <xf numFmtId="0" fontId="44" fillId="0" borderId="27" xfId="0" applyFont="1" applyBorder="1" applyAlignment="1">
      <alignment vertical="top"/>
    </xf>
    <xf numFmtId="3" fontId="67" fillId="2" borderId="5" xfId="0" quotePrefix="1" applyNumberFormat="1" applyFont="1" applyFill="1" applyBorder="1" applyAlignment="1">
      <alignment horizontal="left" vertical="top" wrapText="1"/>
    </xf>
    <xf numFmtId="3" fontId="67" fillId="2" borderId="3" xfId="0" applyNumberFormat="1" applyFont="1" applyFill="1" applyBorder="1" applyAlignment="1">
      <alignment horizontal="center" vertical="top" wrapText="1"/>
    </xf>
    <xf numFmtId="0" fontId="43" fillId="0" borderId="27" xfId="0" applyFont="1" applyBorder="1" applyAlignment="1">
      <alignment vertical="top"/>
    </xf>
    <xf numFmtId="0" fontId="83" fillId="0" borderId="0" xfId="0" applyFont="1" applyAlignment="1">
      <alignment vertical="top" wrapText="1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wrapText="1"/>
    </xf>
    <xf numFmtId="3" fontId="84" fillId="0" borderId="27" xfId="0" applyNumberFormat="1" applyFont="1" applyFill="1" applyBorder="1" applyAlignment="1">
      <alignment vertical="center" wrapText="1"/>
    </xf>
    <xf numFmtId="3" fontId="81" fillId="0" borderId="22" xfId="0" applyNumberFormat="1" applyFont="1" applyFill="1" applyBorder="1"/>
    <xf numFmtId="3" fontId="86" fillId="0" borderId="22" xfId="0" applyNumberFormat="1" applyFont="1" applyFill="1" applyBorder="1" applyAlignment="1">
      <alignment vertical="center"/>
    </xf>
    <xf numFmtId="0" fontId="71" fillId="0" borderId="0" xfId="0" applyFont="1"/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42" fillId="0" borderId="27" xfId="0" applyFont="1" applyBorder="1" applyAlignment="1">
      <alignment vertical="top"/>
    </xf>
    <xf numFmtId="0" fontId="76" fillId="0" borderId="27" xfId="0" applyFont="1" applyBorder="1" applyAlignment="1">
      <alignment vertical="top"/>
    </xf>
    <xf numFmtId="3" fontId="67" fillId="0" borderId="27" xfId="0" quotePrefix="1" applyNumberFormat="1" applyFont="1" applyFill="1" applyBorder="1" applyAlignment="1">
      <alignment horizontal="left" vertical="center"/>
    </xf>
    <xf numFmtId="0" fontId="0" fillId="0" borderId="0" xfId="0"/>
    <xf numFmtId="0" fontId="83" fillId="0" borderId="0" xfId="0" applyFont="1" applyAlignment="1">
      <alignment horizontal="left" vertical="top" wrapText="1"/>
    </xf>
    <xf numFmtId="0" fontId="64" fillId="6" borderId="13" xfId="0" applyFont="1" applyFill="1" applyBorder="1"/>
    <xf numFmtId="0" fontId="39" fillId="0" borderId="22" xfId="0" applyFont="1" applyBorder="1"/>
    <xf numFmtId="0" fontId="39" fillId="0" borderId="27" xfId="0" applyFont="1" applyBorder="1"/>
    <xf numFmtId="0" fontId="39" fillId="0" borderId="27" xfId="0" applyFont="1" applyBorder="1" applyAlignment="1">
      <alignment vertical="top"/>
    </xf>
    <xf numFmtId="0" fontId="38" fillId="0" borderId="27" xfId="0" applyFont="1" applyBorder="1"/>
    <xf numFmtId="0" fontId="37" fillId="0" borderId="27" xfId="0" applyFont="1" applyBorder="1" applyAlignment="1">
      <alignment vertical="top" wrapText="1"/>
    </xf>
    <xf numFmtId="1" fontId="67" fillId="0" borderId="39" xfId="0" applyNumberFormat="1" applyFont="1" applyBorder="1" applyAlignment="1">
      <alignment horizontal="right" vertical="center"/>
    </xf>
    <xf numFmtId="165" fontId="67" fillId="0" borderId="39" xfId="0" applyNumberFormat="1" applyFont="1" applyBorder="1" applyAlignment="1">
      <alignment vertical="center"/>
    </xf>
    <xf numFmtId="0" fontId="67" fillId="0" borderId="39" xfId="0" applyFont="1" applyBorder="1" applyAlignment="1">
      <alignment horizontal="left" vertical="center"/>
    </xf>
    <xf numFmtId="0" fontId="36" fillId="0" borderId="27" xfId="0" applyFont="1" applyBorder="1" applyAlignment="1">
      <alignment vertical="top"/>
    </xf>
    <xf numFmtId="3" fontId="35" fillId="0" borderId="27" xfId="0" applyNumberFormat="1" applyFont="1" applyFill="1" applyBorder="1" applyAlignment="1">
      <alignment horizontal="left" vertical="top"/>
    </xf>
    <xf numFmtId="3" fontId="35" fillId="0" borderId="27" xfId="0" applyNumberFormat="1" applyFont="1" applyFill="1" applyBorder="1" applyAlignment="1">
      <alignment horizontal="left" vertical="center"/>
    </xf>
    <xf numFmtId="3" fontId="35" fillId="2" borderId="27" xfId="0" applyNumberFormat="1" applyFont="1" applyFill="1" applyBorder="1" applyAlignment="1">
      <alignment horizontal="left" vertical="center"/>
    </xf>
    <xf numFmtId="0" fontId="35" fillId="0" borderId="27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3" fillId="0" borderId="27" xfId="0" applyFont="1" applyBorder="1" applyAlignment="1">
      <alignment vertical="top" wrapText="1"/>
    </xf>
    <xf numFmtId="0" fontId="33" fillId="0" borderId="27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3" fontId="67" fillId="0" borderId="27" xfId="14" applyNumberFormat="1" applyFont="1" applyFill="1" applyBorder="1" applyAlignment="1">
      <alignment vertical="center"/>
    </xf>
    <xf numFmtId="166" fontId="67" fillId="0" borderId="0" xfId="0" quotePrefix="1" applyNumberFormat="1" applyFont="1" applyAlignment="1">
      <alignment horizontal="left"/>
    </xf>
    <xf numFmtId="0" fontId="30" fillId="0" borderId="27" xfId="0" applyFont="1" applyBorder="1" applyAlignment="1">
      <alignment vertical="top"/>
    </xf>
    <xf numFmtId="0" fontId="29" fillId="0" borderId="27" xfId="0" applyFont="1" applyBorder="1"/>
    <xf numFmtId="0" fontId="28" fillId="0" borderId="27" xfId="0" applyFont="1" applyBorder="1" applyAlignment="1">
      <alignment vertical="top"/>
    </xf>
    <xf numFmtId="0" fontId="27" fillId="0" borderId="27" xfId="0" applyFont="1" applyBorder="1" applyAlignment="1">
      <alignment vertical="top"/>
    </xf>
    <xf numFmtId="0" fontId="26" fillId="0" borderId="27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22" fillId="0" borderId="27" xfId="0" applyFont="1" applyBorder="1" applyAlignment="1">
      <alignment vertical="top"/>
    </xf>
    <xf numFmtId="0" fontId="21" fillId="0" borderId="27" xfId="0" applyFont="1" applyBorder="1" applyAlignment="1">
      <alignment vertical="top"/>
    </xf>
    <xf numFmtId="3" fontId="67" fillId="11" borderId="0" xfId="0" applyNumberFormat="1" applyFont="1" applyFill="1" applyBorder="1" applyAlignment="1" applyProtection="1">
      <alignment horizontal="right" vertical="center" wrapText="1"/>
      <protection locked="0"/>
    </xf>
    <xf numFmtId="3" fontId="67" fillId="12" borderId="27" xfId="0" applyNumberFormat="1" applyFont="1" applyFill="1" applyBorder="1" applyAlignment="1">
      <alignment horizontal="right" vertical="center"/>
    </xf>
    <xf numFmtId="3" fontId="67" fillId="11" borderId="7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8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27" xfId="0" applyNumberFormat="1" applyFont="1" applyFill="1" applyBorder="1" applyAlignment="1">
      <alignment horizontal="right" vertical="center"/>
    </xf>
    <xf numFmtId="3" fontId="67" fillId="11" borderId="12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5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10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6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16" xfId="0" applyNumberFormat="1" applyFont="1" applyFill="1" applyBorder="1" applyAlignment="1" applyProtection="1">
      <alignment horizontal="right" vertical="center" wrapText="1"/>
      <protection locked="0"/>
    </xf>
    <xf numFmtId="3" fontId="67" fillId="11" borderId="18" xfId="0" applyNumberFormat="1" applyFont="1" applyFill="1" applyBorder="1" applyAlignment="1" applyProtection="1">
      <alignment horizontal="right" vertical="center" wrapText="1"/>
      <protection locked="0"/>
    </xf>
    <xf numFmtId="3" fontId="81" fillId="0" borderId="27" xfId="0" quotePrefix="1" applyNumberFormat="1" applyFont="1" applyFill="1" applyBorder="1" applyAlignment="1">
      <alignment vertical="center"/>
    </xf>
    <xf numFmtId="3" fontId="67" fillId="7" borderId="9" xfId="0" applyNumberFormat="1" applyFont="1" applyFill="1" applyBorder="1" applyAlignment="1" applyProtection="1">
      <alignment horizontal="right" vertical="center" wrapText="1"/>
      <protection locked="0"/>
    </xf>
    <xf numFmtId="3" fontId="67" fillId="7" borderId="17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7" xfId="0" applyNumberFormat="1" applyFont="1" applyFill="1" applyBorder="1" applyAlignment="1">
      <alignment horizontal="left" vertical="top"/>
    </xf>
    <xf numFmtId="3" fontId="20" fillId="0" borderId="27" xfId="0" applyNumberFormat="1" applyFont="1" applyFill="1" applyBorder="1" applyAlignment="1">
      <alignment horizontal="left" vertical="center"/>
    </xf>
    <xf numFmtId="3" fontId="67" fillId="12" borderId="27" xfId="0" applyNumberFormat="1" applyFont="1" applyFill="1" applyBorder="1" applyAlignment="1">
      <alignment vertical="center"/>
    </xf>
    <xf numFmtId="3" fontId="6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7" fillId="2" borderId="22" xfId="0" applyNumberFormat="1" applyFont="1" applyFill="1" applyBorder="1" applyAlignment="1">
      <alignment horizontal="right" vertical="center"/>
    </xf>
    <xf numFmtId="3" fontId="67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0" applyFont="1" applyBorder="1" applyAlignment="1">
      <alignment vertical="top"/>
    </xf>
    <xf numFmtId="9" fontId="67" fillId="0" borderId="0" xfId="1" applyFont="1" applyFill="1" applyBorder="1" applyAlignment="1">
      <alignment horizontal="left" vertical="top" wrapText="1"/>
    </xf>
    <xf numFmtId="9" fontId="67" fillId="0" borderId="0" xfId="1" applyFont="1" applyFill="1" applyBorder="1" applyAlignment="1">
      <alignment vertical="center"/>
    </xf>
    <xf numFmtId="9" fontId="67" fillId="0" borderId="44" xfId="1" applyFont="1" applyFill="1" applyBorder="1" applyAlignment="1">
      <alignment vertical="center"/>
    </xf>
    <xf numFmtId="9" fontId="67" fillId="2" borderId="44" xfId="1" applyFont="1" applyFill="1" applyBorder="1" applyAlignment="1">
      <alignment vertical="center"/>
    </xf>
    <xf numFmtId="9" fontId="67" fillId="2" borderId="44" xfId="1" applyFont="1" applyFill="1" applyBorder="1" applyAlignment="1">
      <alignment horizontal="center" vertical="center" wrapText="1"/>
    </xf>
    <xf numFmtId="9" fontId="67" fillId="0" borderId="22" xfId="1" applyFont="1" applyFill="1" applyBorder="1" applyAlignment="1">
      <alignment vertical="center"/>
    </xf>
    <xf numFmtId="9" fontId="79" fillId="0" borderId="27" xfId="1" applyFont="1" applyFill="1" applyBorder="1" applyAlignment="1">
      <alignment vertical="center"/>
    </xf>
    <xf numFmtId="9" fontId="67" fillId="0" borderId="27" xfId="1" applyFont="1" applyFill="1" applyBorder="1" applyAlignment="1">
      <alignment vertical="center"/>
    </xf>
    <xf numFmtId="9" fontId="67" fillId="2" borderId="27" xfId="1" applyFont="1" applyFill="1" applyBorder="1" applyAlignment="1">
      <alignment vertical="center"/>
    </xf>
    <xf numFmtId="9" fontId="79" fillId="0" borderId="28" xfId="1" applyFont="1" applyFill="1" applyBorder="1" applyAlignment="1">
      <alignment vertical="center"/>
    </xf>
    <xf numFmtId="0" fontId="33" fillId="0" borderId="0" xfId="0" applyFont="1" applyBorder="1" applyAlignment="1">
      <alignment vertical="top"/>
    </xf>
    <xf numFmtId="0" fontId="17" fillId="0" borderId="0" xfId="0" applyFont="1"/>
    <xf numFmtId="3" fontId="72" fillId="7" borderId="3" xfId="0" applyNumberFormat="1" applyFont="1" applyFill="1" applyBorder="1" applyAlignment="1" applyProtection="1">
      <alignment horizontal="right" vertical="center" wrapText="1"/>
      <protection locked="0"/>
    </xf>
    <xf numFmtId="3" fontId="72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67" fillId="2" borderId="0" xfId="0" applyNumberFormat="1" applyFont="1" applyFill="1" applyBorder="1" applyAlignment="1">
      <alignment horizontal="left" vertical="center" wrapText="1"/>
    </xf>
    <xf numFmtId="0" fontId="15" fillId="0" borderId="27" xfId="0" applyFont="1" applyBorder="1" applyAlignment="1">
      <alignment vertical="top"/>
    </xf>
    <xf numFmtId="3" fontId="67" fillId="2" borderId="0" xfId="0" applyNumberFormat="1" applyFont="1" applyFill="1" applyBorder="1" applyAlignment="1">
      <alignment vertical="center" wrapText="1"/>
    </xf>
    <xf numFmtId="0" fontId="79" fillId="5" borderId="0" xfId="0" applyFont="1" applyFill="1" applyBorder="1"/>
    <xf numFmtId="0" fontId="79" fillId="5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left" vertical="top" wrapText="1"/>
    </xf>
    <xf numFmtId="0" fontId="14" fillId="0" borderId="27" xfId="0" applyFont="1" applyBorder="1" applyAlignment="1">
      <alignment vertical="top"/>
    </xf>
    <xf numFmtId="0" fontId="64" fillId="0" borderId="0" xfId="0" applyFont="1"/>
    <xf numFmtId="0" fontId="13" fillId="0" borderId="27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71" fillId="0" borderId="39" xfId="0" applyFont="1" applyBorder="1"/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57" fillId="2" borderId="46" xfId="0" applyFont="1" applyFill="1" applyBorder="1" applyAlignment="1">
      <alignment vertical="center" wrapText="1"/>
    </xf>
    <xf numFmtId="0" fontId="57" fillId="2" borderId="46" xfId="0" applyFont="1" applyFill="1" applyBorder="1" applyAlignment="1">
      <alignment vertical="center"/>
    </xf>
    <xf numFmtId="3" fontId="67" fillId="0" borderId="7" xfId="0" applyNumberFormat="1" applyFont="1" applyFill="1" applyBorder="1" applyAlignment="1">
      <alignment horizontal="left" vertical="center" wrapText="1"/>
    </xf>
    <xf numFmtId="3" fontId="67" fillId="0" borderId="1" xfId="0" applyNumberFormat="1" applyFont="1" applyFill="1" applyBorder="1" applyAlignment="1">
      <alignment horizontal="center" vertical="center" wrapText="1"/>
    </xf>
    <xf numFmtId="3" fontId="67" fillId="0" borderId="1" xfId="0" applyNumberFormat="1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vertical="center" wrapText="1"/>
    </xf>
    <xf numFmtId="3" fontId="67" fillId="2" borderId="33" xfId="0" applyNumberFormat="1" applyFont="1" applyFill="1" applyBorder="1" applyAlignment="1">
      <alignment vertical="center" wrapText="1"/>
    </xf>
    <xf numFmtId="3" fontId="67" fillId="2" borderId="30" xfId="0" applyNumberFormat="1" applyFont="1" applyFill="1" applyBorder="1" applyAlignment="1">
      <alignment vertical="center" textRotation="90" wrapText="1"/>
    </xf>
    <xf numFmtId="3" fontId="67" fillId="2" borderId="30" xfId="0" applyNumberFormat="1" applyFont="1" applyFill="1" applyBorder="1" applyAlignment="1">
      <alignment horizontal="left" vertical="center" wrapText="1"/>
    </xf>
    <xf numFmtId="0" fontId="67" fillId="2" borderId="30" xfId="0" applyFont="1" applyFill="1" applyBorder="1" applyAlignment="1">
      <alignment horizontal="center" vertical="center" wrapText="1"/>
    </xf>
    <xf numFmtId="14" fontId="67" fillId="2" borderId="30" xfId="0" applyNumberFormat="1" applyFont="1" applyFill="1" applyBorder="1" applyAlignment="1">
      <alignment horizontal="center" vertical="center" wrapText="1"/>
    </xf>
    <xf numFmtId="0" fontId="67" fillId="2" borderId="30" xfId="0" applyFont="1" applyFill="1" applyBorder="1" applyAlignment="1">
      <alignment vertical="center"/>
    </xf>
    <xf numFmtId="167" fontId="67" fillId="2" borderId="30" xfId="0" applyNumberFormat="1" applyFont="1" applyFill="1" applyBorder="1" applyAlignment="1">
      <alignment horizontal="center" vertical="center"/>
    </xf>
    <xf numFmtId="167" fontId="67" fillId="2" borderId="47" xfId="0" applyNumberFormat="1" applyFont="1" applyFill="1" applyBorder="1" applyAlignment="1">
      <alignment horizontal="center" vertical="center"/>
    </xf>
    <xf numFmtId="1" fontId="17" fillId="2" borderId="35" xfId="0" applyNumberFormat="1" applyFont="1" applyFill="1" applyBorder="1" applyAlignment="1">
      <alignment vertical="center"/>
    </xf>
    <xf numFmtId="0" fontId="11" fillId="0" borderId="27" xfId="0" applyFont="1" applyBorder="1" applyAlignment="1">
      <alignment vertical="top"/>
    </xf>
    <xf numFmtId="0" fontId="11" fillId="0" borderId="27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9" fillId="0" borderId="27" xfId="0" applyFont="1" applyBorder="1"/>
    <xf numFmtId="0" fontId="8" fillId="0" borderId="27" xfId="0" applyFont="1" applyBorder="1" applyAlignment="1">
      <alignment vertical="top"/>
    </xf>
    <xf numFmtId="0" fontId="67" fillId="13" borderId="0" xfId="0" applyFont="1" applyFill="1" applyBorder="1" applyAlignment="1">
      <alignment horizontal="center" vertical="center"/>
    </xf>
    <xf numFmtId="3" fontId="98" fillId="0" borderId="0" xfId="0" applyNumberFormat="1" applyFont="1" applyFill="1" applyBorder="1" applyAlignment="1">
      <alignment horizontal="left" vertical="top" wrapText="1"/>
    </xf>
    <xf numFmtId="43" fontId="98" fillId="0" borderId="0" xfId="4" applyFont="1" applyFill="1" applyBorder="1" applyAlignment="1">
      <alignment horizontal="left" vertical="top" wrapText="1"/>
    </xf>
    <xf numFmtId="43" fontId="67" fillId="0" borderId="0" xfId="4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vertical="center"/>
    </xf>
    <xf numFmtId="43" fontId="70" fillId="0" borderId="0" xfId="4" applyFont="1" applyFill="1" applyBorder="1" applyAlignment="1">
      <alignment vertical="center"/>
    </xf>
    <xf numFmtId="3" fontId="67" fillId="14" borderId="27" xfId="0" applyNumberFormat="1" applyFont="1" applyFill="1" applyBorder="1" applyAlignment="1">
      <alignment horizontal="left" vertical="center"/>
    </xf>
    <xf numFmtId="3" fontId="67" fillId="14" borderId="27" xfId="0" applyNumberFormat="1" applyFont="1" applyFill="1" applyBorder="1" applyAlignment="1">
      <alignment horizontal="center" vertical="center"/>
    </xf>
    <xf numFmtId="3" fontId="35" fillId="14" borderId="27" xfId="0" applyNumberFormat="1" applyFont="1" applyFill="1" applyBorder="1" applyAlignment="1">
      <alignment horizontal="left" vertical="top"/>
    </xf>
    <xf numFmtId="0" fontId="79" fillId="14" borderId="27" xfId="0" applyFont="1" applyFill="1" applyBorder="1" applyAlignment="1">
      <alignment vertical="center"/>
    </xf>
    <xf numFmtId="3" fontId="67" fillId="14" borderId="29" xfId="0" applyNumberFormat="1" applyFont="1" applyFill="1" applyBorder="1" applyAlignment="1">
      <alignment horizontal="right" vertical="center"/>
    </xf>
    <xf numFmtId="3" fontId="67" fillId="14" borderId="27" xfId="0" applyNumberFormat="1" applyFont="1" applyFill="1" applyBorder="1" applyAlignment="1">
      <alignment horizontal="right" vertical="center"/>
    </xf>
    <xf numFmtId="3" fontId="67" fillId="14" borderId="27" xfId="0" applyNumberFormat="1" applyFont="1" applyFill="1" applyBorder="1" applyAlignment="1">
      <alignment vertical="center"/>
    </xf>
    <xf numFmtId="0" fontId="67" fillId="14" borderId="0" xfId="0" applyFont="1" applyFill="1" applyBorder="1" applyAlignment="1">
      <alignment vertical="center"/>
    </xf>
    <xf numFmtId="168" fontId="67" fillId="14" borderId="27" xfId="0" applyNumberFormat="1" applyFont="1" applyFill="1" applyBorder="1" applyAlignment="1">
      <alignment horizontal="center" vertical="center"/>
    </xf>
    <xf numFmtId="3" fontId="79" fillId="14" borderId="27" xfId="0" applyNumberFormat="1" applyFont="1" applyFill="1" applyBorder="1" applyAlignment="1">
      <alignment horizontal="left" vertical="center"/>
    </xf>
    <xf numFmtId="3" fontId="67" fillId="14" borderId="31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19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20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34" xfId="0" applyNumberFormat="1" applyFont="1" applyFill="1" applyBorder="1" applyAlignment="1" applyProtection="1">
      <alignment horizontal="right" vertical="center" wrapText="1"/>
      <protection locked="0"/>
    </xf>
    <xf numFmtId="3" fontId="72" fillId="14" borderId="27" xfId="0" applyNumberFormat="1" applyFont="1" applyFill="1" applyBorder="1" applyAlignment="1">
      <alignment horizontal="left" vertical="center"/>
    </xf>
    <xf numFmtId="3" fontId="20" fillId="14" borderId="27" xfId="0" applyNumberFormat="1" applyFont="1" applyFill="1" applyBorder="1" applyAlignment="1">
      <alignment horizontal="left" vertical="top"/>
    </xf>
    <xf numFmtId="3" fontId="67" fillId="14" borderId="10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4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6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13" xfId="0" applyNumberFormat="1" applyFont="1" applyFill="1" applyBorder="1" applyAlignment="1" applyProtection="1">
      <alignment horizontal="right" vertical="center" wrapText="1"/>
      <protection locked="0"/>
    </xf>
    <xf numFmtId="3" fontId="35" fillId="14" borderId="27" xfId="0" applyNumberFormat="1" applyFont="1" applyFill="1" applyBorder="1" applyAlignment="1">
      <alignment horizontal="left" vertical="center"/>
    </xf>
    <xf numFmtId="3" fontId="67" fillId="15" borderId="27" xfId="0" applyNumberFormat="1" applyFont="1" applyFill="1" applyBorder="1" applyAlignment="1">
      <alignment vertical="center"/>
    </xf>
    <xf numFmtId="0" fontId="67" fillId="14" borderId="27" xfId="0" applyFont="1" applyFill="1" applyBorder="1" applyAlignment="1">
      <alignment vertical="center"/>
    </xf>
    <xf numFmtId="3" fontId="67" fillId="14" borderId="27" xfId="0" applyNumberFormat="1" applyFont="1" applyFill="1" applyBorder="1" applyAlignment="1">
      <alignment horizontal="left" vertical="top"/>
    </xf>
    <xf numFmtId="3" fontId="67" fillId="14" borderId="0" xfId="0" applyNumberFormat="1" applyFont="1" applyFill="1" applyBorder="1" applyAlignment="1" applyProtection="1">
      <alignment horizontal="right" vertical="center" wrapText="1"/>
      <protection locked="0"/>
    </xf>
    <xf numFmtId="0" fontId="67" fillId="14" borderId="27" xfId="0" applyFont="1" applyFill="1" applyBorder="1" applyAlignment="1">
      <alignment horizontal="left" vertical="center"/>
    </xf>
    <xf numFmtId="0" fontId="67" fillId="14" borderId="0" xfId="0" applyFont="1" applyFill="1" applyAlignment="1">
      <alignment horizontal="center" vertical="center"/>
    </xf>
    <xf numFmtId="3" fontId="67" fillId="14" borderId="16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18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17" xfId="0" applyNumberFormat="1" applyFont="1" applyFill="1" applyBorder="1" applyAlignment="1" applyProtection="1">
      <alignment horizontal="right" vertical="center" wrapText="1"/>
      <protection locked="0"/>
    </xf>
    <xf numFmtId="3" fontId="79" fillId="14" borderId="27" xfId="0" applyNumberFormat="1" applyFont="1" applyFill="1" applyBorder="1" applyAlignment="1">
      <alignment vertical="center"/>
    </xf>
    <xf numFmtId="3" fontId="72" fillId="14" borderId="27" xfId="0" applyNumberFormat="1" applyFont="1" applyFill="1" applyBorder="1" applyAlignment="1">
      <alignment vertical="center"/>
    </xf>
    <xf numFmtId="3" fontId="67" fillId="14" borderId="3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5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11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27" xfId="0" quotePrefix="1" applyNumberFormat="1" applyFont="1" applyFill="1" applyBorder="1" applyAlignment="1">
      <alignment vertical="center"/>
    </xf>
    <xf numFmtId="3" fontId="67" fillId="14" borderId="9" xfId="0" applyNumberFormat="1" applyFont="1" applyFill="1" applyBorder="1" applyAlignment="1" applyProtection="1">
      <alignment horizontal="right" vertical="center" wrapText="1"/>
      <protection locked="0"/>
    </xf>
    <xf numFmtId="3" fontId="79" fillId="14" borderId="27" xfId="0" quotePrefix="1" applyNumberFormat="1" applyFont="1" applyFill="1" applyBorder="1" applyAlignment="1">
      <alignment vertical="center"/>
    </xf>
    <xf numFmtId="0" fontId="72" fillId="14" borderId="27" xfId="0" applyFont="1" applyFill="1" applyBorder="1" applyAlignment="1">
      <alignment vertical="center"/>
    </xf>
    <xf numFmtId="3" fontId="98" fillId="0" borderId="27" xfId="0" applyNumberFormat="1" applyFont="1" applyFill="1" applyBorder="1" applyAlignment="1">
      <alignment horizontal="left" vertical="center"/>
    </xf>
    <xf numFmtId="168" fontId="98" fillId="0" borderId="27" xfId="0" applyNumberFormat="1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3" fontId="70" fillId="0" borderId="27" xfId="0" applyNumberFormat="1" applyFont="1" applyFill="1" applyBorder="1" applyAlignment="1">
      <alignment horizontal="left" vertical="center"/>
    </xf>
    <xf numFmtId="168" fontId="70" fillId="0" borderId="27" xfId="0" applyNumberFormat="1" applyFont="1" applyFill="1" applyBorder="1" applyAlignment="1">
      <alignment horizontal="center" vertical="center"/>
    </xf>
    <xf numFmtId="3" fontId="70" fillId="0" borderId="27" xfId="0" applyNumberFormat="1" applyFont="1" applyFill="1" applyBorder="1" applyAlignment="1">
      <alignment horizontal="left" vertical="top"/>
    </xf>
    <xf numFmtId="3" fontId="70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70" fillId="7" borderId="4" xfId="0" applyNumberFormat="1" applyFont="1" applyFill="1" applyBorder="1" applyAlignment="1" applyProtection="1">
      <alignment horizontal="right" vertical="center" wrapText="1"/>
      <protection locked="0"/>
    </xf>
    <xf numFmtId="3" fontId="70" fillId="7" borderId="6" xfId="0" applyNumberFormat="1" applyFont="1" applyFill="1" applyBorder="1" applyAlignment="1" applyProtection="1">
      <alignment horizontal="right" vertical="center" wrapText="1"/>
      <protection locked="0"/>
    </xf>
    <xf numFmtId="3" fontId="70" fillId="0" borderId="27" xfId="0" applyNumberFormat="1" applyFont="1" applyFill="1" applyBorder="1" applyAlignment="1">
      <alignment vertical="center"/>
    </xf>
    <xf numFmtId="3" fontId="70" fillId="7" borderId="13" xfId="0" applyNumberFormat="1" applyFont="1" applyFill="1" applyBorder="1" applyAlignment="1" applyProtection="1">
      <alignment horizontal="right" vertical="center" wrapText="1"/>
      <protection locked="0"/>
    </xf>
    <xf numFmtId="3" fontId="70" fillId="7" borderId="16" xfId="0" applyNumberFormat="1" applyFont="1" applyFill="1" applyBorder="1" applyAlignment="1" applyProtection="1">
      <alignment horizontal="right" vertical="center" wrapText="1"/>
      <protection locked="0"/>
    </xf>
    <xf numFmtId="3" fontId="97" fillId="0" borderId="27" xfId="0" applyNumberFormat="1" applyFont="1" applyFill="1" applyBorder="1" applyAlignment="1">
      <alignment horizontal="left" vertical="center"/>
    </xf>
    <xf numFmtId="3" fontId="7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70" fillId="0" borderId="27" xfId="0" applyNumberFormat="1" applyFont="1" applyFill="1" applyBorder="1" applyAlignment="1">
      <alignment horizontal="center" vertical="center"/>
    </xf>
    <xf numFmtId="3" fontId="70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70" fillId="12" borderId="27" xfId="0" applyNumberFormat="1" applyFont="1" applyFill="1" applyBorder="1" applyAlignment="1">
      <alignment vertical="center"/>
    </xf>
    <xf numFmtId="0" fontId="70" fillId="0" borderId="27" xfId="0" applyFont="1" applyFill="1" applyBorder="1" applyAlignment="1">
      <alignment horizontal="left" vertical="center" wrapText="1"/>
    </xf>
    <xf numFmtId="3" fontId="7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8" fillId="7" borderId="16" xfId="0" applyNumberFormat="1" applyFont="1" applyFill="1" applyBorder="1" applyAlignment="1" applyProtection="1">
      <alignment horizontal="right" vertical="center" wrapText="1"/>
      <protection locked="0"/>
    </xf>
    <xf numFmtId="3" fontId="98" fillId="7" borderId="18" xfId="0" applyNumberFormat="1" applyFont="1" applyFill="1" applyBorder="1" applyAlignment="1" applyProtection="1">
      <alignment horizontal="right" vertical="center" wrapText="1"/>
      <protection locked="0"/>
    </xf>
    <xf numFmtId="3" fontId="98" fillId="7" borderId="17" xfId="0" applyNumberFormat="1" applyFont="1" applyFill="1" applyBorder="1" applyAlignment="1" applyProtection="1">
      <alignment horizontal="right" vertical="center" wrapText="1"/>
      <protection locked="0"/>
    </xf>
    <xf numFmtId="3" fontId="98" fillId="0" borderId="29" xfId="0" applyNumberFormat="1" applyFont="1" applyFill="1" applyBorder="1" applyAlignment="1">
      <alignment vertical="center"/>
    </xf>
    <xf numFmtId="3" fontId="73" fillId="0" borderId="27" xfId="0" applyNumberFormat="1" applyFont="1" applyFill="1" applyBorder="1" applyAlignment="1">
      <alignment horizontal="left" vertical="center"/>
    </xf>
    <xf numFmtId="3" fontId="70" fillId="7" borderId="31" xfId="0" applyNumberFormat="1" applyFont="1" applyFill="1" applyBorder="1" applyAlignment="1" applyProtection="1">
      <alignment horizontal="right" vertical="center" wrapText="1"/>
      <protection locked="0"/>
    </xf>
    <xf numFmtId="3" fontId="70" fillId="7" borderId="20" xfId="0" applyNumberFormat="1" applyFont="1" applyFill="1" applyBorder="1" applyAlignment="1" applyProtection="1">
      <alignment horizontal="right" vertical="center" wrapText="1"/>
      <protection locked="0"/>
    </xf>
    <xf numFmtId="3" fontId="70" fillId="7" borderId="34" xfId="0" applyNumberFormat="1" applyFont="1" applyFill="1" applyBorder="1" applyAlignment="1" applyProtection="1">
      <alignment horizontal="right" vertical="center" wrapText="1"/>
      <protection locked="0"/>
    </xf>
    <xf numFmtId="3" fontId="98" fillId="0" borderId="27" xfId="0" applyNumberFormat="1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2" fontId="7" fillId="7" borderId="13" xfId="0" applyNumberFormat="1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2" fontId="7" fillId="7" borderId="36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2" fontId="7" fillId="0" borderId="38" xfId="0" applyNumberFormat="1" applyFont="1" applyFill="1" applyBorder="1" applyAlignment="1">
      <alignment vertical="center" wrapText="1"/>
    </xf>
    <xf numFmtId="2" fontId="7" fillId="0" borderId="35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2" fontId="7" fillId="0" borderId="38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2" fontId="7" fillId="0" borderId="37" xfId="0" applyNumberFormat="1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2" fontId="7" fillId="13" borderId="11" xfId="0" applyNumberFormat="1" applyFont="1" applyFill="1" applyBorder="1" applyAlignment="1">
      <alignment vertical="center"/>
    </xf>
    <xf numFmtId="2" fontId="7" fillId="13" borderId="36" xfId="0" applyNumberFormat="1" applyFont="1" applyFill="1" applyBorder="1" applyAlignment="1">
      <alignment vertical="center"/>
    </xf>
    <xf numFmtId="9" fontId="67" fillId="14" borderId="27" xfId="1" applyFont="1" applyFill="1" applyBorder="1" applyAlignment="1">
      <alignment vertical="center"/>
    </xf>
    <xf numFmtId="3" fontId="72" fillId="14" borderId="4" xfId="0" applyNumberFormat="1" applyFont="1" applyFill="1" applyBorder="1" applyAlignment="1" applyProtection="1">
      <alignment horizontal="right" vertical="center" wrapText="1"/>
      <protection locked="0"/>
    </xf>
    <xf numFmtId="3" fontId="72" fillId="14" borderId="6" xfId="0" applyNumberFormat="1" applyFont="1" applyFill="1" applyBorder="1" applyAlignment="1" applyProtection="1">
      <alignment horizontal="right" vertical="center" wrapText="1"/>
      <protection locked="0"/>
    </xf>
    <xf numFmtId="3" fontId="72" fillId="14" borderId="27" xfId="0" applyNumberFormat="1" applyFont="1" applyFill="1" applyBorder="1" applyAlignment="1">
      <alignment horizontal="right" vertical="center"/>
    </xf>
    <xf numFmtId="3" fontId="67" fillId="14" borderId="0" xfId="0" applyNumberFormat="1" applyFont="1" applyFill="1" applyBorder="1" applyAlignment="1">
      <alignment horizontal="right" vertical="center"/>
    </xf>
    <xf numFmtId="3" fontId="72" fillId="14" borderId="10" xfId="0" applyNumberFormat="1" applyFont="1" applyFill="1" applyBorder="1" applyAlignment="1" applyProtection="1">
      <alignment horizontal="right" vertical="center" wrapText="1"/>
      <protection locked="0"/>
    </xf>
    <xf numFmtId="3" fontId="67" fillId="15" borderId="10" xfId="0" applyNumberFormat="1" applyFont="1" applyFill="1" applyBorder="1" applyAlignment="1" applyProtection="1">
      <alignment horizontal="right" vertical="center" wrapText="1"/>
      <protection locked="0"/>
    </xf>
    <xf numFmtId="3" fontId="67" fillId="15" borderId="6" xfId="0" applyNumberFormat="1" applyFont="1" applyFill="1" applyBorder="1" applyAlignment="1" applyProtection="1">
      <alignment horizontal="right" vertical="center" wrapText="1"/>
      <protection locked="0"/>
    </xf>
    <xf numFmtId="3" fontId="67" fillId="15" borderId="27" xfId="0" applyNumberFormat="1" applyFont="1" applyFill="1" applyBorder="1" applyAlignment="1">
      <alignment horizontal="right" vertical="center"/>
    </xf>
    <xf numFmtId="3" fontId="67" fillId="14" borderId="7" xfId="0" applyNumberFormat="1" applyFont="1" applyFill="1" applyBorder="1" applyAlignment="1" applyProtection="1">
      <alignment horizontal="right" vertical="center" wrapText="1"/>
      <protection locked="0"/>
    </xf>
    <xf numFmtId="3" fontId="67" fillId="14" borderId="8" xfId="0" applyNumberFormat="1" applyFont="1" applyFill="1" applyBorder="1" applyAlignment="1" applyProtection="1">
      <alignment horizontal="right" vertical="center" wrapText="1"/>
      <protection locked="0"/>
    </xf>
    <xf numFmtId="3" fontId="79" fillId="14" borderId="0" xfId="0" applyNumberFormat="1" applyFont="1" applyFill="1" applyBorder="1" applyAlignment="1">
      <alignment horizontal="right" vertical="center"/>
    </xf>
    <xf numFmtId="3" fontId="79" fillId="14" borderId="27" xfId="0" applyNumberFormat="1" applyFont="1" applyFill="1" applyBorder="1" applyAlignment="1">
      <alignment horizontal="right" vertical="center"/>
    </xf>
    <xf numFmtId="9" fontId="79" fillId="14" borderId="27" xfId="1" applyFont="1" applyFill="1" applyBorder="1" applyAlignment="1">
      <alignment vertical="center"/>
    </xf>
    <xf numFmtId="3" fontId="67" fillId="14" borderId="27" xfId="0" quotePrefix="1" applyNumberFormat="1" applyFont="1" applyFill="1" applyBorder="1" applyAlignment="1">
      <alignment horizontal="left" vertical="center"/>
    </xf>
    <xf numFmtId="3" fontId="67" fillId="15" borderId="16" xfId="0" applyNumberFormat="1" applyFont="1" applyFill="1" applyBorder="1" applyAlignment="1" applyProtection="1">
      <alignment horizontal="right" vertical="center" wrapText="1"/>
      <protection locked="0"/>
    </xf>
    <xf numFmtId="3" fontId="67" fillId="15" borderId="18" xfId="0" applyNumberFormat="1" applyFont="1" applyFill="1" applyBorder="1" applyAlignment="1" applyProtection="1">
      <alignment horizontal="right" vertical="center" wrapText="1"/>
      <protection locked="0"/>
    </xf>
    <xf numFmtId="3" fontId="70" fillId="0" borderId="27" xfId="0" applyNumberFormat="1" applyFont="1" applyFill="1" applyBorder="1" applyAlignment="1">
      <alignment horizontal="right" vertical="center"/>
    </xf>
    <xf numFmtId="9" fontId="70" fillId="0" borderId="27" xfId="1" applyFont="1" applyFill="1" applyBorder="1" applyAlignment="1">
      <alignment vertical="center"/>
    </xf>
    <xf numFmtId="3" fontId="97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97" fillId="7" borderId="6" xfId="0" applyNumberFormat="1" applyFont="1" applyFill="1" applyBorder="1" applyAlignment="1" applyProtection="1">
      <alignment horizontal="right" vertical="center" wrapText="1"/>
      <protection locked="0"/>
    </xf>
    <xf numFmtId="3" fontId="97" fillId="0" borderId="27" xfId="0" applyNumberFormat="1" applyFont="1" applyFill="1" applyBorder="1" applyAlignment="1">
      <alignment horizontal="right" vertical="center"/>
    </xf>
    <xf numFmtId="3" fontId="70" fillId="11" borderId="10" xfId="0" applyNumberFormat="1" applyFont="1" applyFill="1" applyBorder="1" applyAlignment="1" applyProtection="1">
      <alignment horizontal="right" vertical="center" wrapText="1"/>
      <protection locked="0"/>
    </xf>
    <xf numFmtId="3" fontId="70" fillId="11" borderId="6" xfId="0" applyNumberFormat="1" applyFont="1" applyFill="1" applyBorder="1" applyAlignment="1" applyProtection="1">
      <alignment horizontal="right" vertical="center" wrapText="1"/>
      <protection locked="0"/>
    </xf>
    <xf numFmtId="3" fontId="70" fillId="11" borderId="27" xfId="0" applyNumberFormat="1" applyFont="1" applyFill="1" applyBorder="1" applyAlignment="1">
      <alignment horizontal="right" vertical="center"/>
    </xf>
    <xf numFmtId="3" fontId="70" fillId="10" borderId="27" xfId="0" applyNumberFormat="1" applyFont="1" applyFill="1" applyBorder="1" applyAlignment="1">
      <alignment horizontal="right" vertical="center"/>
    </xf>
    <xf numFmtId="3" fontId="97" fillId="11" borderId="10" xfId="0" applyNumberFormat="1" applyFont="1" applyFill="1" applyBorder="1" applyAlignment="1" applyProtection="1">
      <alignment horizontal="right" vertical="center" wrapText="1"/>
      <protection locked="0"/>
    </xf>
    <xf numFmtId="3" fontId="97" fillId="11" borderId="6" xfId="0" applyNumberFormat="1" applyFont="1" applyFill="1" applyBorder="1" applyAlignment="1" applyProtection="1">
      <alignment horizontal="right" vertical="center" wrapText="1"/>
      <protection locked="0"/>
    </xf>
    <xf numFmtId="3" fontId="97" fillId="11" borderId="27" xfId="0" applyNumberFormat="1" applyFont="1" applyFill="1" applyBorder="1" applyAlignment="1">
      <alignment horizontal="right" vertical="center"/>
    </xf>
    <xf numFmtId="0" fontId="100" fillId="0" borderId="0" xfId="0" applyFont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70" fillId="0" borderId="27" xfId="0" applyFont="1" applyFill="1" applyBorder="1" applyAlignment="1">
      <alignment vertical="center"/>
    </xf>
    <xf numFmtId="0" fontId="98" fillId="0" borderId="27" xfId="0" applyFont="1" applyFill="1" applyBorder="1" applyAlignment="1">
      <alignment vertical="center"/>
    </xf>
    <xf numFmtId="3" fontId="98" fillId="0" borderId="27" xfId="0" applyNumberFormat="1" applyFont="1" applyFill="1" applyBorder="1" applyAlignment="1">
      <alignment horizontal="left" vertical="top"/>
    </xf>
    <xf numFmtId="0" fontId="98" fillId="0" borderId="27" xfId="0" applyFont="1" applyFill="1" applyBorder="1" applyAlignment="1">
      <alignment horizontal="left" vertical="center" wrapText="1"/>
    </xf>
    <xf numFmtId="3" fontId="98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98" fillId="7" borderId="8" xfId="0" applyNumberFormat="1" applyFont="1" applyFill="1" applyBorder="1" applyAlignment="1" applyProtection="1">
      <alignment horizontal="right" vertical="center" wrapText="1"/>
      <protection locked="0"/>
    </xf>
    <xf numFmtId="3" fontId="98" fillId="0" borderId="27" xfId="0" applyNumberFormat="1" applyFont="1" applyFill="1" applyBorder="1" applyAlignment="1">
      <alignment horizontal="right" vertical="center"/>
    </xf>
    <xf numFmtId="9" fontId="98" fillId="0" borderId="27" xfId="1" applyFont="1" applyFill="1" applyBorder="1" applyAlignment="1">
      <alignment vertical="center"/>
    </xf>
    <xf numFmtId="3" fontId="99" fillId="7" borderId="4" xfId="0" applyNumberFormat="1" applyFont="1" applyFill="1" applyBorder="1" applyAlignment="1" applyProtection="1">
      <alignment horizontal="right" vertical="center" wrapText="1"/>
      <protection locked="0"/>
    </xf>
    <xf numFmtId="3" fontId="99" fillId="7" borderId="6" xfId="0" applyNumberFormat="1" applyFont="1" applyFill="1" applyBorder="1" applyAlignment="1" applyProtection="1">
      <alignment horizontal="right" vertical="center" wrapText="1"/>
      <protection locked="0"/>
    </xf>
    <xf numFmtId="3" fontId="99" fillId="0" borderId="27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vertical="top"/>
    </xf>
    <xf numFmtId="2" fontId="7" fillId="13" borderId="13" xfId="0" applyNumberFormat="1" applyFont="1" applyFill="1" applyBorder="1" applyAlignment="1">
      <alignment vertical="center"/>
    </xf>
    <xf numFmtId="2" fontId="7" fillId="7" borderId="11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2" fontId="7" fillId="13" borderId="26" xfId="0" applyNumberFormat="1" applyFont="1" applyFill="1" applyBorder="1" applyAlignment="1">
      <alignment vertical="center"/>
    </xf>
    <xf numFmtId="0" fontId="67" fillId="0" borderId="27" xfId="0" applyFont="1" applyBorder="1" applyAlignment="1">
      <alignment vertical="top"/>
    </xf>
    <xf numFmtId="0" fontId="67" fillId="2" borderId="6" xfId="0" applyFont="1" applyFill="1" applyBorder="1" applyAlignment="1">
      <alignment vertical="center"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vertical="top" wrapText="1"/>
    </xf>
    <xf numFmtId="0" fontId="4" fillId="0" borderId="23" xfId="0" applyFont="1" applyFill="1" applyBorder="1" applyAlignment="1">
      <alignment vertical="center" wrapText="1"/>
    </xf>
    <xf numFmtId="0" fontId="67" fillId="0" borderId="23" xfId="0" applyFont="1" applyFill="1" applyBorder="1" applyAlignment="1">
      <alignment vertical="center"/>
    </xf>
    <xf numFmtId="0" fontId="67" fillId="0" borderId="1" xfId="0" applyFont="1" applyFill="1" applyBorder="1" applyAlignment="1">
      <alignment vertical="center"/>
    </xf>
    <xf numFmtId="2" fontId="67" fillId="0" borderId="23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27" xfId="0" applyFont="1" applyBorder="1" applyAlignment="1">
      <alignment vertical="top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/>
    <xf numFmtId="0" fontId="57" fillId="2" borderId="0" xfId="0" applyFont="1" applyFill="1" applyAlignment="1">
      <alignment horizontal="left"/>
    </xf>
    <xf numFmtId="0" fontId="57" fillId="2" borderId="7" xfId="0" applyFont="1" applyFill="1" applyBorder="1" applyAlignment="1">
      <alignment horizontal="left"/>
    </xf>
    <xf numFmtId="0" fontId="57" fillId="2" borderId="0" xfId="0" applyFont="1" applyFill="1" applyAlignment="1">
      <alignment horizontal="left" vertical="center"/>
    </xf>
    <xf numFmtId="0" fontId="57" fillId="2" borderId="7" xfId="0" applyFont="1" applyFill="1" applyBorder="1" applyAlignment="1">
      <alignment horizontal="left" vertical="center"/>
    </xf>
    <xf numFmtId="3" fontId="67" fillId="2" borderId="0" xfId="0" applyNumberFormat="1" applyFont="1" applyFill="1" applyBorder="1" applyAlignment="1">
      <alignment horizontal="center" wrapText="1"/>
    </xf>
    <xf numFmtId="0" fontId="67" fillId="2" borderId="27" xfId="0" applyFont="1" applyFill="1" applyBorder="1" applyAlignment="1">
      <alignment horizontal="left" vertical="center" wrapText="1"/>
    </xf>
    <xf numFmtId="0" fontId="67" fillId="2" borderId="28" xfId="0" applyFont="1" applyFill="1" applyBorder="1" applyAlignment="1">
      <alignment horizontal="left" vertical="center" wrapText="1"/>
    </xf>
    <xf numFmtId="3" fontId="67" fillId="2" borderId="0" xfId="0" applyNumberFormat="1" applyFont="1" applyFill="1" applyBorder="1" applyAlignment="1">
      <alignment horizontal="left" wrapText="1"/>
    </xf>
    <xf numFmtId="3" fontId="67" fillId="2" borderId="0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83" fillId="0" borderId="0" xfId="0" applyFont="1" applyBorder="1" applyAlignment="1">
      <alignment horizontal="left"/>
    </xf>
    <xf numFmtId="3" fontId="84" fillId="0" borderId="27" xfId="0" applyNumberFormat="1" applyFont="1" applyFill="1" applyBorder="1" applyAlignment="1">
      <alignment vertical="center" wrapText="1"/>
    </xf>
    <xf numFmtId="0" fontId="83" fillId="0" borderId="27" xfId="0" applyFont="1" applyBorder="1" applyAlignment="1">
      <alignment vertical="center" wrapText="1"/>
    </xf>
    <xf numFmtId="0" fontId="83" fillId="0" borderId="0" xfId="0" applyFont="1" applyAlignment="1">
      <alignment vertical="top" wrapText="1"/>
    </xf>
    <xf numFmtId="0" fontId="83" fillId="0" borderId="0" xfId="0" applyFont="1" applyAlignment="1">
      <alignment horizontal="left" vertical="top" wrapText="1"/>
    </xf>
    <xf numFmtId="3" fontId="84" fillId="0" borderId="27" xfId="0" quotePrefix="1" applyNumberFormat="1" applyFont="1" applyFill="1" applyBorder="1" applyAlignment="1">
      <alignment vertical="center" wrapText="1"/>
    </xf>
    <xf numFmtId="0" fontId="83" fillId="0" borderId="0" xfId="0" applyFont="1" applyAlignment="1">
      <alignment wrapText="1"/>
    </xf>
  </cellXfs>
  <cellStyles count="59">
    <cellStyle name="Ausgabe" xfId="3" hidden="1" xr:uid="{00000000-0005-0000-0000-000000000000}"/>
    <cellStyle name="Ausgabe" xfId="6" hidden="1" xr:uid="{00000000-0005-0000-0000-000001000000}"/>
    <cellStyle name="Ausgabe" xfId="7" hidden="1" xr:uid="{00000000-0005-0000-0000-000002000000}"/>
    <cellStyle name="Ausgabe" xfId="9" hidden="1" xr:uid="{00000000-0005-0000-0000-000003000000}"/>
    <cellStyle name="Ausgabe" xfId="16" hidden="1" xr:uid="{00000000-0005-0000-0000-000004000000}"/>
    <cellStyle name="Ausgabe" xfId="19" hidden="1" xr:uid="{00000000-0005-0000-0000-000005000000}"/>
    <cellStyle name="Ausgabe" xfId="20" hidden="1" xr:uid="{00000000-0005-0000-0000-000006000000}"/>
    <cellStyle name="Ausgabe" xfId="22" hidden="1" xr:uid="{00000000-0005-0000-0000-000007000000}"/>
    <cellStyle name="Ausgabe" xfId="31" hidden="1" xr:uid="{00000000-0005-0000-0000-000008000000}"/>
    <cellStyle name="Ausgabe" xfId="34" hidden="1" xr:uid="{00000000-0005-0000-0000-000009000000}"/>
    <cellStyle name="Ausgabe" xfId="35" hidden="1" xr:uid="{00000000-0005-0000-0000-00000A000000}"/>
    <cellStyle name="Ausgabe" xfId="37" hidden="1" xr:uid="{00000000-0005-0000-0000-00000B000000}"/>
    <cellStyle name="Ausgabe" xfId="44" hidden="1" xr:uid="{00000000-0005-0000-0000-00000C000000}"/>
    <cellStyle name="Ausgabe" xfId="47" hidden="1" xr:uid="{00000000-0005-0000-0000-00000D000000}"/>
    <cellStyle name="Ausgabe" xfId="48" hidden="1" xr:uid="{00000000-0005-0000-0000-00000E000000}"/>
    <cellStyle name="Ausgabe" xfId="50" hidden="1" xr:uid="{00000000-0005-0000-0000-00000F000000}"/>
    <cellStyle name="Comma 2" xfId="17" xr:uid="{00000000-0005-0000-0000-000010000000}"/>
    <cellStyle name="Comma 2 2" xfId="45" xr:uid="{00000000-0005-0000-0000-000011000000}"/>
    <cellStyle name="Eingabe" xfId="2" hidden="1" xr:uid="{00000000-0005-0000-0000-000012000000}"/>
    <cellStyle name="Eingabe" xfId="5" hidden="1" xr:uid="{00000000-0005-0000-0000-000013000000}"/>
    <cellStyle name="Eingabe" xfId="8" hidden="1" xr:uid="{00000000-0005-0000-0000-000014000000}"/>
    <cellStyle name="Eingabe" xfId="10" hidden="1" xr:uid="{00000000-0005-0000-0000-000015000000}"/>
    <cellStyle name="Eingabe" xfId="15" hidden="1" xr:uid="{00000000-0005-0000-0000-000016000000}"/>
    <cellStyle name="Eingabe" xfId="18" hidden="1" xr:uid="{00000000-0005-0000-0000-000017000000}"/>
    <cellStyle name="Eingabe" xfId="21" hidden="1" xr:uid="{00000000-0005-0000-0000-000018000000}"/>
    <cellStyle name="Eingabe" xfId="23" hidden="1" xr:uid="{00000000-0005-0000-0000-000019000000}"/>
    <cellStyle name="Eingabe" xfId="30" hidden="1" xr:uid="{00000000-0005-0000-0000-00001A000000}"/>
    <cellStyle name="Eingabe" xfId="33" hidden="1" xr:uid="{00000000-0005-0000-0000-00001B000000}"/>
    <cellStyle name="Eingabe" xfId="36" hidden="1" xr:uid="{00000000-0005-0000-0000-00001C000000}"/>
    <cellStyle name="Eingabe" xfId="38" hidden="1" xr:uid="{00000000-0005-0000-0000-00001D000000}"/>
    <cellStyle name="Eingabe" xfId="43" hidden="1" xr:uid="{00000000-0005-0000-0000-00001E000000}"/>
    <cellStyle name="Eingabe" xfId="46" hidden="1" xr:uid="{00000000-0005-0000-0000-00001F000000}"/>
    <cellStyle name="Eingabe" xfId="49" hidden="1" xr:uid="{00000000-0005-0000-0000-000020000000}"/>
    <cellStyle name="Eingabe" xfId="51" hidden="1" xr:uid="{00000000-0005-0000-0000-000021000000}"/>
    <cellStyle name="Komma" xfId="4" builtinId="3"/>
    <cellStyle name="Komma 2" xfId="29" xr:uid="{00000000-0005-0000-0000-000023000000}"/>
    <cellStyle name="Komma 2 2" xfId="57" xr:uid="{00000000-0005-0000-0000-000024000000}"/>
    <cellStyle name="Komma 3" xfId="58" xr:uid="{00000000-0005-0000-0000-000025000000}"/>
    <cellStyle name="Komma 4" xfId="32" xr:uid="{00000000-0005-0000-0000-000026000000}"/>
    <cellStyle name="Milliers 2" xfId="13" xr:uid="{00000000-0005-0000-0000-000028000000}"/>
    <cellStyle name="Milliers 2 2" xfId="26" xr:uid="{00000000-0005-0000-0000-000029000000}"/>
    <cellStyle name="Milliers 2 2 2" xfId="54" xr:uid="{00000000-0005-0000-0000-00002A000000}"/>
    <cellStyle name="Milliers 2 3" xfId="41" xr:uid="{00000000-0005-0000-0000-00002B000000}"/>
    <cellStyle name="Normal 45" xfId="11" xr:uid="{00000000-0005-0000-0000-00002C000000}"/>
    <cellStyle name="Normal 45 2" xfId="24" xr:uid="{00000000-0005-0000-0000-00002D000000}"/>
    <cellStyle name="Normal 45 2 2" xfId="52" xr:uid="{00000000-0005-0000-0000-00002E000000}"/>
    <cellStyle name="Normal 45 3" xfId="39" xr:uid="{00000000-0005-0000-0000-00002F000000}"/>
    <cellStyle name="Pourcentage 2" xfId="12" xr:uid="{00000000-0005-0000-0000-000030000000}"/>
    <cellStyle name="Pourcentage 2 2" xfId="25" xr:uid="{00000000-0005-0000-0000-000031000000}"/>
    <cellStyle name="Pourcentage 2 2 2" xfId="53" xr:uid="{00000000-0005-0000-0000-000032000000}"/>
    <cellStyle name="Pourcentage 2 3" xfId="40" xr:uid="{00000000-0005-0000-0000-000033000000}"/>
    <cellStyle name="Prozent" xfId="1" builtinId="5"/>
    <cellStyle name="Prozent 2" xfId="28" xr:uid="{00000000-0005-0000-0000-000035000000}"/>
    <cellStyle name="Prozent 2 2" xfId="56" xr:uid="{00000000-0005-0000-0000-000036000000}"/>
    <cellStyle name="Standard" xfId="0" builtinId="0"/>
    <cellStyle name="Standard 12" xfId="14" xr:uid="{00000000-0005-0000-0000-000038000000}"/>
    <cellStyle name="Standard 12 2" xfId="42" xr:uid="{00000000-0005-0000-0000-000039000000}"/>
    <cellStyle name="Standard 2" xfId="27" xr:uid="{00000000-0005-0000-0000-00003A000000}"/>
    <cellStyle name="Standard 2 2" xfId="55" xr:uid="{00000000-0005-0000-0000-00003B000000}"/>
  </cellStyles>
  <dxfs count="11">
    <dxf>
      <fill>
        <patternFill>
          <bgColor rgb="FFD8E4BC"/>
        </patternFill>
      </fill>
    </dxf>
    <dxf>
      <fill>
        <patternFill>
          <bgColor rgb="FFFFFFCC"/>
        </patternFill>
      </fill>
    </dxf>
    <dxf>
      <fill>
        <patternFill>
          <bgColor theme="4" tint="0.59996337778862885"/>
        </patternFill>
      </fill>
    </dxf>
    <dxf>
      <fill>
        <patternFill>
          <bgColor rgb="FFD8E4B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DE2CE"/>
      <color rgb="FF002D64"/>
      <color rgb="FF00539E"/>
      <color rgb="FFD4ECF9"/>
      <color rgb="FFD8E4BC"/>
      <color rgb="FFEBF6FC"/>
      <color rgb="FFA2D3EE"/>
      <color rgb="FFD4ECF7"/>
      <color rgb="FFBDE4F7"/>
      <color rgb="FF86C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D4ECF9"/>
  </sheetPr>
  <dimension ref="A1:K32"/>
  <sheetViews>
    <sheetView showGridLines="0" tabSelected="1" zoomScale="90" zoomScaleNormal="90" workbookViewId="0"/>
  </sheetViews>
  <sheetFormatPr baseColWidth="10" defaultColWidth="8.85546875" defaultRowHeight="12.75" customHeight="1" x14ac:dyDescent="0.2"/>
  <cols>
    <col min="1" max="1" width="5.7109375" style="5" customWidth="1"/>
    <col min="2" max="2" width="41.85546875" style="5" customWidth="1"/>
    <col min="3" max="3" width="13.28515625" style="5" customWidth="1"/>
    <col min="4" max="4" width="36" style="5" customWidth="1"/>
    <col min="5" max="5" width="54.42578125" style="5" customWidth="1"/>
    <col min="6" max="16384" width="8.85546875" style="5"/>
  </cols>
  <sheetData>
    <row r="1" spans="1:11" ht="20.100000000000001" customHeight="1" x14ac:dyDescent="0.2">
      <c r="A1" s="8">
        <v>1</v>
      </c>
      <c r="B1" s="9" t="str">
        <f>IF(Language="DE", list_of_sheets!D7, IF(Language="FR", list_of_sheets!E7,list_of_sheets!F7))</f>
        <v>SST-Participation-Template</v>
      </c>
      <c r="C1" s="9">
        <v>2024</v>
      </c>
    </row>
    <row r="2" spans="1:11" ht="14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s="13" customFormat="1" ht="14.25" customHeight="1" x14ac:dyDescent="0.2">
      <c r="A3" s="12"/>
      <c r="B3" s="22" t="s">
        <v>120</v>
      </c>
      <c r="C3" s="329" t="s">
        <v>1541</v>
      </c>
      <c r="D3" s="23"/>
      <c r="E3" s="23"/>
      <c r="F3" s="23"/>
      <c r="G3" s="23"/>
      <c r="H3" s="23"/>
      <c r="I3" s="23"/>
      <c r="J3" s="23"/>
    </row>
    <row r="4" spans="1:11" s="13" customFormat="1" ht="14.25" customHeight="1" x14ac:dyDescent="0.2">
      <c r="A4" s="12"/>
      <c r="B4" s="22"/>
      <c r="C4" s="36"/>
      <c r="D4" s="23"/>
      <c r="E4" s="23"/>
      <c r="F4" s="23"/>
      <c r="G4" s="23"/>
      <c r="H4" s="23"/>
      <c r="I4" s="23"/>
      <c r="J4" s="23"/>
    </row>
    <row r="5" spans="1:11" s="13" customFormat="1" ht="14.25" customHeight="1" x14ac:dyDescent="0.2">
      <c r="A5" s="23"/>
      <c r="B5" s="37"/>
      <c r="C5" s="23"/>
      <c r="D5" s="23"/>
      <c r="E5" s="23"/>
      <c r="F5" s="23"/>
      <c r="G5" s="23"/>
      <c r="H5" s="23"/>
      <c r="I5" s="23"/>
      <c r="J5" s="23"/>
    </row>
    <row r="6" spans="1:11" s="13" customFormat="1" ht="14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1" s="13" customFormat="1" ht="14.25" customHeight="1" x14ac:dyDescent="0.2">
      <c r="A7" s="23"/>
      <c r="B7" s="564" t="s">
        <v>36</v>
      </c>
      <c r="C7" s="564"/>
      <c r="D7" s="565"/>
      <c r="E7" s="34" t="s">
        <v>1521</v>
      </c>
      <c r="F7" s="14">
        <f>IF(Language="DE",1,IF(Language="FR",2,3))</f>
        <v>1</v>
      </c>
      <c r="G7" s="384" t="str">
        <f>IF(LanguageNo=1,"in Mio.",IF(LanguageNo=2,"en milion","in Mio."))&amp;" "</f>
        <v xml:space="preserve">in Mio. </v>
      </c>
      <c r="H7" s="23"/>
      <c r="I7" s="23"/>
      <c r="J7" s="23"/>
    </row>
    <row r="8" spans="1:11" s="13" customFormat="1" ht="14.25" customHeight="1" x14ac:dyDescent="0.2">
      <c r="A8" s="27"/>
      <c r="B8" s="26"/>
      <c r="C8" s="23"/>
      <c r="D8" s="23"/>
      <c r="E8" s="38"/>
      <c r="F8" s="27"/>
      <c r="G8" s="27"/>
      <c r="H8" s="27"/>
      <c r="I8" s="27"/>
      <c r="J8" s="27"/>
      <c r="K8" s="15"/>
    </row>
    <row r="9" spans="1:11" s="13" customFormat="1" ht="14.25" customHeight="1" x14ac:dyDescent="0.2">
      <c r="A9" s="27"/>
      <c r="B9" s="566" t="str">
        <f>VLOOKUP("T.01.02",Translation,LanguageNo+1,FALSE)</f>
        <v>Name der Versicherungsgesellschaft</v>
      </c>
      <c r="C9" s="566"/>
      <c r="D9" s="567"/>
      <c r="E9" s="34" t="s">
        <v>38</v>
      </c>
      <c r="F9" s="23"/>
      <c r="G9" s="27"/>
      <c r="H9" s="27"/>
      <c r="I9" s="27"/>
      <c r="J9" s="27"/>
      <c r="K9" s="15"/>
    </row>
    <row r="10" spans="1:11" s="13" customFormat="1" ht="14.25" customHeight="1" x14ac:dyDescent="0.2">
      <c r="A10" s="27"/>
      <c r="B10" s="27"/>
      <c r="C10" s="23"/>
      <c r="D10" s="23"/>
      <c r="E10" s="39"/>
      <c r="F10" s="27"/>
      <c r="G10" s="27"/>
      <c r="H10" s="27"/>
      <c r="I10" s="27"/>
      <c r="J10" s="27"/>
      <c r="K10" s="15"/>
    </row>
    <row r="11" spans="1:11" s="13" customFormat="1" ht="14.25" customHeight="1" x14ac:dyDescent="0.2">
      <c r="A11" s="27"/>
      <c r="B11" s="566" t="str">
        <f>VLOOKUP("T.01.03",Translation,LanguageNo+1,FALSE)</f>
        <v>Sparte</v>
      </c>
      <c r="C11" s="566"/>
      <c r="D11" s="567"/>
      <c r="E11" s="34"/>
      <c r="F11" s="47"/>
      <c r="G11" s="27"/>
      <c r="H11" s="27"/>
      <c r="I11" s="27"/>
      <c r="J11" s="27"/>
      <c r="K11" s="15"/>
    </row>
    <row r="12" spans="1:11" s="13" customFormat="1" ht="14.25" customHeight="1" x14ac:dyDescent="0.2">
      <c r="A12" s="23"/>
      <c r="B12" s="23"/>
      <c r="C12" s="23"/>
      <c r="D12" s="28"/>
      <c r="E12" s="28"/>
      <c r="F12" s="28"/>
      <c r="G12" s="28"/>
      <c r="H12" s="28"/>
      <c r="I12" s="28"/>
      <c r="J12" s="28"/>
      <c r="K12" s="16"/>
    </row>
    <row r="13" spans="1:11" s="13" customFormat="1" ht="14.25" customHeight="1" x14ac:dyDescent="0.2">
      <c r="A13" s="23"/>
      <c r="B13" s="23"/>
      <c r="C13" s="26"/>
      <c r="D13" s="28"/>
      <c r="E13" s="28"/>
      <c r="F13" s="28"/>
      <c r="G13" s="28"/>
      <c r="H13" s="28"/>
      <c r="I13" s="28"/>
      <c r="J13" s="28"/>
      <c r="K13" s="16"/>
    </row>
    <row r="14" spans="1:11" s="13" customFormat="1" ht="14.25" customHeight="1" x14ac:dyDescent="0.2">
      <c r="A14" s="23"/>
      <c r="B14" s="3" t="str">
        <f>VLOOKUP("T.02.03",Translation,LanguageNo+1,FALSE)</f>
        <v>Bemerkungen</v>
      </c>
      <c r="C14" s="29"/>
      <c r="D14" s="28"/>
      <c r="E14" s="28"/>
      <c r="F14" s="28"/>
      <c r="G14" s="28"/>
      <c r="H14" s="28"/>
      <c r="I14" s="28"/>
      <c r="J14" s="28"/>
      <c r="K14" s="16"/>
    </row>
    <row r="15" spans="1:11" s="13" customFormat="1" ht="14.25" customHeight="1" x14ac:dyDescent="0.2">
      <c r="A15" s="31"/>
      <c r="B15" s="40" t="str">
        <f>VLOOKUP("T.01.17",Translation,LanguageNo+1,FALSE)</f>
        <v>Dieses SST-Template enthält Tabellenblätter mit verschiedenen Registerfarben. Es wird die folgende Farbenkonvention verwendet:</v>
      </c>
      <c r="C15" s="30"/>
      <c r="D15" s="30"/>
      <c r="E15" s="29"/>
      <c r="F15" s="30"/>
      <c r="G15" s="30"/>
      <c r="H15" s="30"/>
      <c r="I15" s="30"/>
      <c r="J15" s="30"/>
      <c r="K15" s="20"/>
    </row>
    <row r="16" spans="1:11" s="13" customFormat="1" ht="14.25" customHeight="1" x14ac:dyDescent="0.2">
      <c r="A16" s="31"/>
      <c r="B16" s="40"/>
      <c r="C16" s="23"/>
      <c r="D16" s="29"/>
      <c r="E16" s="29"/>
      <c r="F16" s="29"/>
      <c r="G16" s="29"/>
      <c r="H16" s="29"/>
      <c r="I16" s="29"/>
      <c r="J16" s="29"/>
      <c r="K16" s="17"/>
    </row>
    <row r="17" spans="1:11" s="13" customFormat="1" ht="14.25" customHeight="1" x14ac:dyDescent="0.2">
      <c r="A17" s="23"/>
      <c r="B17" s="244" t="str">
        <f>VLOOKUP("T.01.13",Translation,LanguageNo+1,FALSE)</f>
        <v>Angaben</v>
      </c>
      <c r="C17" s="41" t="str">
        <f>VLOOKUP("T.01.18",Translation,LanguageNo+1,FALSE)</f>
        <v>Tabellenblätter, die vom Versicherungsunternehmen auszufüllen sind.</v>
      </c>
      <c r="D17" s="28"/>
      <c r="E17" s="28"/>
      <c r="F17" s="28"/>
      <c r="G17" s="28"/>
      <c r="H17" s="28"/>
      <c r="I17" s="28"/>
      <c r="J17" s="28"/>
      <c r="K17" s="16"/>
    </row>
    <row r="18" spans="1:11" s="13" customFormat="1" ht="14.25" customHeight="1" x14ac:dyDescent="0.2">
      <c r="A18" s="23"/>
      <c r="B18" s="21" t="str">
        <f>VLOOKUP("T.01.14",Translation,LanguageNo+1,FALSE)</f>
        <v>Parameter</v>
      </c>
      <c r="C18" s="42" t="str">
        <f>VLOOKUP("T.01.19",Translation,LanguageNo+1,FALSE)</f>
        <v>Tabellenblätter mit Informationen und Parametern. Diese Tabellenblätter sind in der Regel nicht zu ändern.</v>
      </c>
      <c r="D18" s="28"/>
      <c r="E18" s="28"/>
      <c r="F18" s="28"/>
      <c r="G18" s="28"/>
      <c r="H18" s="28"/>
      <c r="I18" s="28"/>
      <c r="J18" s="28"/>
      <c r="K18" s="16"/>
    </row>
    <row r="19" spans="1:11" s="13" customFormat="1" ht="14.25" customHeight="1" x14ac:dyDescent="0.2">
      <c r="A19" s="23"/>
      <c r="B19" s="411" t="str">
        <f>VLOOKUP("T.01.15",Translation,LanguageNo+1,FALSE)</f>
        <v>Ausgabe</v>
      </c>
      <c r="C19" s="42" t="str">
        <f>VLOOKUP("T.01.20",Translation,LanguageNo+1,FALSE)</f>
        <v>Ausgabefelder: Diese Daten sind in das jeweilige SST-Template einzukopieren.</v>
      </c>
      <c r="D19" s="28"/>
      <c r="E19" s="28"/>
      <c r="F19" s="28"/>
      <c r="G19" s="28"/>
      <c r="H19" s="28"/>
      <c r="I19" s="28"/>
      <c r="J19" s="28"/>
      <c r="K19" s="16"/>
    </row>
    <row r="20" spans="1:11" s="13" customFormat="1" ht="14.25" customHeight="1" x14ac:dyDescent="0.2">
      <c r="A20" s="23"/>
      <c r="B20" s="28"/>
      <c r="C20" s="42"/>
      <c r="D20" s="28"/>
      <c r="E20" s="28"/>
      <c r="F20" s="28"/>
      <c r="G20" s="28"/>
      <c r="H20" s="28"/>
      <c r="I20" s="28"/>
      <c r="J20" s="28"/>
      <c r="K20" s="16"/>
    </row>
    <row r="21" spans="1:11" s="18" customFormat="1" ht="14.25" customHeight="1" x14ac:dyDescent="0.25">
      <c r="A21" s="31"/>
      <c r="B21" s="43" t="str">
        <f>VLOOKUP("T.01.16",Translation,LanguageNo+1,FALSE)</f>
        <v>Eingabe</v>
      </c>
      <c r="C21" s="44" t="str">
        <f>VLOOKUP("T.01.21",Translation,LanguageNo+1,FALSE)</f>
        <v>Eingabefelder: In diesen Feldern werden versicherungsspezifische Angaben erwartet.</v>
      </c>
      <c r="D21" s="40"/>
      <c r="E21" s="40"/>
      <c r="F21" s="40"/>
      <c r="G21" s="40"/>
      <c r="H21" s="40"/>
      <c r="I21" s="40"/>
      <c r="J21" s="40"/>
      <c r="K21" s="19"/>
    </row>
    <row r="22" spans="1:11" ht="12.7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1" ht="12.75" customHeight="1" x14ac:dyDescent="0.2">
      <c r="A23" s="23"/>
      <c r="B23" s="23"/>
      <c r="C23" s="42"/>
      <c r="D23" s="23"/>
      <c r="E23" s="23"/>
      <c r="F23" s="23"/>
      <c r="G23" s="23"/>
      <c r="H23" s="23"/>
      <c r="I23" s="23"/>
      <c r="J23" s="23"/>
    </row>
    <row r="24" spans="1:11" ht="12.7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1" ht="12.7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1" ht="12.7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1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1" ht="12.7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1" ht="12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1" ht="12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1" ht="12.7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ht="12.7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</row>
  </sheetData>
  <mergeCells count="3">
    <mergeCell ref="B7:D7"/>
    <mergeCell ref="B9:D9"/>
    <mergeCell ref="B11:D11"/>
  </mergeCells>
  <dataValidations count="2">
    <dataValidation type="list" allowBlank="1" showInputMessage="1" showErrorMessage="1" sqref="C13" xr:uid="{00000000-0002-0000-0000-000000000000}">
      <formula1>"DE, FR, EN"</formula1>
    </dataValidation>
    <dataValidation type="list" allowBlank="1" showInputMessage="1" showErrorMessage="1" sqref="E7" xr:uid="{00000000-0002-0000-0000-000001000000}">
      <formula1>"DE, EN"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IF(Language="DE",Glossary!$C$11:$C$16,IF(Language="FR",Glossary!$D$11:$D$16,Glossary!$E$11:$E$16))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539E"/>
  </sheetPr>
  <dimension ref="A1:I14"/>
  <sheetViews>
    <sheetView showGridLines="0" zoomScale="90" zoomScaleNormal="90" workbookViewId="0"/>
  </sheetViews>
  <sheetFormatPr baseColWidth="10" defaultColWidth="8.85546875" defaultRowHeight="12.75" customHeight="1" x14ac:dyDescent="0.2"/>
  <cols>
    <col min="1" max="1" width="5.7109375" style="302" customWidth="1"/>
    <col min="2" max="2" width="8.85546875" style="302"/>
    <col min="3" max="3" width="12.42578125" style="302" customWidth="1"/>
    <col min="4" max="4" width="27.7109375" style="302" bestFit="1" customWidth="1"/>
    <col min="5" max="5" width="255.7109375" style="302" bestFit="1" customWidth="1"/>
    <col min="6" max="16384" width="8.85546875" style="302"/>
  </cols>
  <sheetData>
    <row r="1" spans="1:9" ht="20.100000000000001" customHeight="1" x14ac:dyDescent="0.2">
      <c r="A1" s="11">
        <v>2</v>
      </c>
      <c r="B1" s="304" t="str">
        <f>IF(Language="DE", list_of_sheets!D8, IF(Language="FR", list_of_sheets!E8,list_of_sheets!F8))</f>
        <v>Aktualisierungsliste</v>
      </c>
    </row>
    <row r="2" spans="1:9" ht="14.25" customHeight="1" x14ac:dyDescent="0.2">
      <c r="A2" s="11"/>
      <c r="B2" s="304"/>
    </row>
    <row r="3" spans="1:9" ht="14.25" customHeight="1" x14ac:dyDescent="0.2">
      <c r="A3" s="11"/>
      <c r="B3" s="304"/>
    </row>
    <row r="4" spans="1:9" ht="14.25" customHeight="1" x14ac:dyDescent="0.2">
      <c r="A4" s="11"/>
      <c r="B4" s="304"/>
    </row>
    <row r="5" spans="1:9" ht="14.25" customHeight="1" x14ac:dyDescent="0.2">
      <c r="A5" s="374"/>
      <c r="B5" s="374"/>
      <c r="C5" s="374"/>
      <c r="D5" s="374"/>
      <c r="E5" s="374"/>
      <c r="F5" s="374"/>
      <c r="G5" s="374"/>
      <c r="H5" s="374"/>
      <c r="I5" s="374"/>
    </row>
    <row r="6" spans="1:9" ht="14.25" customHeight="1" x14ac:dyDescent="0.2">
      <c r="A6" s="374"/>
      <c r="B6" s="405" t="s">
        <v>32</v>
      </c>
      <c r="C6" s="405" t="s">
        <v>33</v>
      </c>
      <c r="D6" s="405" t="s">
        <v>117</v>
      </c>
      <c r="E6" s="405" t="s">
        <v>1162</v>
      </c>
      <c r="F6" s="374"/>
      <c r="G6" s="374"/>
      <c r="H6" s="374"/>
      <c r="I6" s="374"/>
    </row>
    <row r="7" spans="1:9" ht="12.75" customHeight="1" x14ac:dyDescent="0.2">
      <c r="B7" s="316">
        <v>1</v>
      </c>
      <c r="C7" s="317">
        <v>44118</v>
      </c>
      <c r="D7" s="318" t="s">
        <v>1446</v>
      </c>
      <c r="E7" s="388" t="s">
        <v>1539</v>
      </c>
    </row>
    <row r="8" spans="1:9" ht="12.75" customHeight="1" x14ac:dyDescent="0.2">
      <c r="B8" s="316">
        <v>2</v>
      </c>
      <c r="C8" s="317">
        <v>45120</v>
      </c>
      <c r="D8" s="318" t="s">
        <v>1445</v>
      </c>
      <c r="E8" s="388" t="s">
        <v>1543</v>
      </c>
    </row>
    <row r="9" spans="1:9" ht="12.75" customHeight="1" x14ac:dyDescent="0.2">
      <c r="B9" s="316">
        <v>3</v>
      </c>
      <c r="C9" s="317">
        <v>45120</v>
      </c>
      <c r="D9" s="318" t="s">
        <v>1445</v>
      </c>
      <c r="E9" s="388" t="s">
        <v>1542</v>
      </c>
    </row>
    <row r="10" spans="1:9" ht="12.75" customHeight="1" x14ac:dyDescent="0.2">
      <c r="B10" s="316">
        <v>4</v>
      </c>
      <c r="C10" s="317">
        <v>45120</v>
      </c>
      <c r="D10" s="318" t="s">
        <v>1445</v>
      </c>
      <c r="E10" s="388" t="s">
        <v>1544</v>
      </c>
    </row>
    <row r="11" spans="1:9" ht="12.75" customHeight="1" x14ac:dyDescent="0.2">
      <c r="B11" s="316">
        <v>5</v>
      </c>
      <c r="C11" s="317">
        <v>45196</v>
      </c>
      <c r="D11" s="318" t="s">
        <v>1445</v>
      </c>
      <c r="E11" s="388" t="s">
        <v>1551</v>
      </c>
    </row>
    <row r="12" spans="1:9" ht="12.75" customHeight="1" x14ac:dyDescent="0.2">
      <c r="B12" s="316">
        <v>6</v>
      </c>
      <c r="C12" s="317">
        <v>45196</v>
      </c>
      <c r="D12" s="318" t="s">
        <v>1445</v>
      </c>
      <c r="E12" s="388" t="s">
        <v>1552</v>
      </c>
    </row>
    <row r="13" spans="1:9" ht="12.75" customHeight="1" x14ac:dyDescent="0.2">
      <c r="B13" s="316">
        <v>7</v>
      </c>
      <c r="C13" s="317">
        <v>45196</v>
      </c>
      <c r="D13" s="318" t="s">
        <v>1445</v>
      </c>
      <c r="E13" s="388" t="s">
        <v>1554</v>
      </c>
    </row>
    <row r="14" spans="1:9" ht="12.75" customHeight="1" x14ac:dyDescent="0.2">
      <c r="B14" s="316">
        <v>8</v>
      </c>
      <c r="C14" s="317">
        <v>45222</v>
      </c>
      <c r="D14" s="318" t="s">
        <v>1567</v>
      </c>
      <c r="E14" s="388" t="s">
        <v>1568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D4ECF9"/>
  </sheetPr>
  <dimension ref="A1:I30"/>
  <sheetViews>
    <sheetView showGridLines="0" zoomScale="90" zoomScaleNormal="90" workbookViewId="0"/>
  </sheetViews>
  <sheetFormatPr baseColWidth="10" defaultColWidth="8.85546875" defaultRowHeight="12.75" customHeight="1" x14ac:dyDescent="0.25"/>
  <cols>
    <col min="1" max="1" width="5.7109375" customWidth="1"/>
    <col min="2" max="2" width="74.42578125" style="46" bestFit="1" customWidth="1"/>
    <col min="3" max="3" width="63.28515625" bestFit="1" customWidth="1"/>
    <col min="4" max="4" width="25.42578125" bestFit="1" customWidth="1"/>
    <col min="5" max="5" width="10.42578125" bestFit="1" customWidth="1"/>
    <col min="7" max="7" width="47.5703125" bestFit="1" customWidth="1"/>
    <col min="8" max="8" width="51.7109375" bestFit="1" customWidth="1"/>
  </cols>
  <sheetData>
    <row r="1" spans="1:9" ht="20.100000000000001" customHeight="1" x14ac:dyDescent="0.25">
      <c r="A1" s="8">
        <v>3</v>
      </c>
      <c r="B1" s="389" t="str">
        <f>IF(Language="DE", list_of_sheets!D9, IF(Language="FR", list_of_sheets!E9,list_of_sheets!F9))</f>
        <v>Inputs für die SST-Templates</v>
      </c>
      <c r="C1" s="1"/>
    </row>
    <row r="2" spans="1:9" ht="14.25" customHeight="1" x14ac:dyDescent="0.25">
      <c r="A2" s="33"/>
      <c r="B2" s="390"/>
      <c r="C2" s="32"/>
      <c r="D2" s="23"/>
      <c r="E2" s="23"/>
    </row>
    <row r="3" spans="1:9" ht="14.25" customHeight="1" x14ac:dyDescent="0.25">
      <c r="A3" s="33"/>
      <c r="B3" s="390"/>
      <c r="C3" s="32"/>
      <c r="D3" s="23"/>
      <c r="E3" s="23"/>
    </row>
    <row r="4" spans="1:9" ht="14.25" customHeight="1" x14ac:dyDescent="0.25">
      <c r="A4" s="23"/>
      <c r="B4" s="45"/>
      <c r="C4" s="23"/>
      <c r="D4" s="23"/>
      <c r="E4" s="23"/>
    </row>
    <row r="5" spans="1:9" ht="14.25" customHeight="1" x14ac:dyDescent="0.25">
      <c r="A5" s="23"/>
      <c r="B5" s="45"/>
      <c r="C5" s="23"/>
      <c r="D5" s="23"/>
      <c r="E5" s="23"/>
    </row>
    <row r="6" spans="1:9" s="4" customFormat="1" ht="24.95" customHeight="1" x14ac:dyDescent="0.25">
      <c r="A6" s="31"/>
      <c r="B6" s="391" t="s">
        <v>1458</v>
      </c>
      <c r="C6" s="392" t="s">
        <v>1459</v>
      </c>
      <c r="D6" s="392" t="s">
        <v>1503</v>
      </c>
      <c r="E6" s="392" t="s">
        <v>1502</v>
      </c>
      <c r="G6" s="391" t="s">
        <v>1458</v>
      </c>
      <c r="H6" s="392" t="s">
        <v>1459</v>
      </c>
      <c r="I6" s="392" t="s">
        <v>1507</v>
      </c>
    </row>
    <row r="7" spans="1:9" s="4" customFormat="1" ht="27" customHeight="1" x14ac:dyDescent="0.25">
      <c r="A7" s="31"/>
      <c r="B7" s="486" t="str">
        <f>VLOOKUP("T.07.02",Translation,LanguageNo+1,FALSE)</f>
        <v>SST-Währung</v>
      </c>
      <c r="C7" s="487"/>
      <c r="D7" s="488" t="s">
        <v>17</v>
      </c>
      <c r="E7" s="488" t="s">
        <v>17</v>
      </c>
      <c r="G7" s="492" t="str">
        <f>VLOOKUP("T.07.24",Translation,LanguageNo+1,FALSE)</f>
        <v>Summe aller Beteiligungswerte</v>
      </c>
      <c r="H7" s="496" t="str">
        <f>VLOOKUP("T.07.26",Translation,LanguageNo+1,FALSE)</f>
        <v>in die SST-Bilanz der Mutter einzukopieren</v>
      </c>
      <c r="I7" s="503">
        <f>SUM(D24:E24)</f>
        <v>0</v>
      </c>
    </row>
    <row r="8" spans="1:9" s="4" customFormat="1" ht="27" customHeight="1" x14ac:dyDescent="0.25">
      <c r="A8" s="31"/>
      <c r="B8" s="489" t="str">
        <f>VLOOKUP("T.07.28",Translation,LanguageNo+1,FALSE)</f>
        <v>erwartete Dividende</v>
      </c>
      <c r="C8" s="490"/>
      <c r="D8" s="491"/>
      <c r="E8" s="491"/>
      <c r="G8" s="486" t="str">
        <f>VLOOKUP("T.07.25",Translation,LanguageNo+1,FALSE)</f>
        <v>Summe aller erwarteten Dividenden</v>
      </c>
      <c r="H8" s="498" t="str">
        <f>VLOOKUP("T.07.27",Translation,LanguageNo+1,FALSE)</f>
        <v>in das erwartete Finanzergebnis der Mutter einzukopieren</v>
      </c>
      <c r="I8" s="548">
        <f>SUM(D8:E8)</f>
        <v>0</v>
      </c>
    </row>
    <row r="9" spans="1:9" s="4" customFormat="1" ht="30" customHeight="1" x14ac:dyDescent="0.25">
      <c r="A9" s="31"/>
      <c r="B9" s="492" t="str">
        <f>VLOOKUP("T.07.03",Translation,LanguageNo+1,FALSE)</f>
        <v>Lookthrough Methodik</v>
      </c>
      <c r="C9" s="493" t="str">
        <f>VLOOKUP("T.07.23",Translation,LanguageNo+1,FALSE)</f>
        <v>gemäss Technische Beschreibung Standardmodell Beteiligungen</v>
      </c>
      <c r="D9" s="549" t="s">
        <v>1489</v>
      </c>
      <c r="E9" s="549" t="s">
        <v>1504</v>
      </c>
      <c r="G9" s="502" t="str">
        <f>VLOOKUP("T.07.29",Translation,LanguageNo+1,FALSE)</f>
        <v>Nachsilbe zur Bezeichnung des ausgegebenen FDS</v>
      </c>
      <c r="H9" s="550" t="str">
        <f>VLOOKUP("T.07.30",Translation,LanguageNo+1,FALSE)</f>
        <v>in das Blatt Intro der Mutter einzukopieren</v>
      </c>
      <c r="I9" s="551"/>
    </row>
    <row r="10" spans="1:9" s="4" customFormat="1" ht="30.75" customHeight="1" x14ac:dyDescent="0.25">
      <c r="A10" s="31"/>
      <c r="B10" s="486" t="str">
        <f>VLOOKUP("T.07.04",Translation,LanguageNo+1,FALSE)</f>
        <v>SST-Nettoaktiven</v>
      </c>
      <c r="C10" s="556" t="s">
        <v>1547</v>
      </c>
      <c r="D10" s="488"/>
      <c r="E10" s="488"/>
    </row>
    <row r="11" spans="1:9" s="4" customFormat="1" ht="27" customHeight="1" x14ac:dyDescent="0.25">
      <c r="A11" s="31"/>
      <c r="B11" s="486" t="str">
        <f>VLOOKUP("T.07.06",Translation,LanguageNo+1,FALSE)</f>
        <v>Überschussfonds Gesamtgeschäft</v>
      </c>
      <c r="C11" s="487" t="s">
        <v>1490</v>
      </c>
      <c r="D11" s="488"/>
      <c r="E11" s="488"/>
    </row>
    <row r="12" spans="1:9" s="4" customFormat="1" ht="27" customHeight="1" x14ac:dyDescent="0.25">
      <c r="A12" s="31"/>
      <c r="B12" s="489" t="str">
        <f>VLOOKUP("T.07.07",Translation,LanguageNo+1,FALSE)</f>
        <v>davon fest zugeteilter Teil</v>
      </c>
      <c r="C12" s="490" t="s">
        <v>1501</v>
      </c>
      <c r="D12" s="491"/>
      <c r="E12" s="491"/>
    </row>
    <row r="13" spans="1:9" s="4" customFormat="1" ht="27" customHeight="1" x14ac:dyDescent="0.25">
      <c r="A13" s="31"/>
      <c r="B13" s="492" t="str">
        <f>VLOOKUP("T.07.08",Translation,LanguageNo+1,FALSE)</f>
        <v>unrealisierte Gewinne / Verluste auf Kapitalanlagen BVG</v>
      </c>
      <c r="C13" s="493" t="s">
        <v>1456</v>
      </c>
      <c r="D13" s="494">
        <f>'Differences_Stat_SSTBalance BVG'!L2</f>
        <v>0</v>
      </c>
      <c r="E13" s="494"/>
    </row>
    <row r="14" spans="1:9" s="4" customFormat="1" ht="27" customHeight="1" x14ac:dyDescent="0.25">
      <c r="A14" s="31"/>
      <c r="B14" s="486" t="str">
        <f>VLOOKUP("T.07.09",Translation,LanguageNo+1,FALSE)</f>
        <v>unrealisierte Gewinne / Verluste auf Versicherungsverpflichtungen BVG</v>
      </c>
      <c r="C14" s="487" t="s">
        <v>1491</v>
      </c>
      <c r="D14" s="494">
        <f>'Differences_Stat_SSTBalance BVG'!L3</f>
        <v>0</v>
      </c>
      <c r="E14" s="494"/>
    </row>
    <row r="15" spans="1:9" s="4" customFormat="1" ht="27" customHeight="1" x14ac:dyDescent="0.25">
      <c r="A15" s="31"/>
      <c r="B15" s="486" t="str">
        <f>VLOOKUP("T.07.10",Translation,LanguageNo+1,FALSE)</f>
        <v>Legal Quote</v>
      </c>
      <c r="C15" s="487" t="s">
        <v>1492</v>
      </c>
      <c r="D15" s="494">
        <v>0.9</v>
      </c>
      <c r="E15" s="494"/>
    </row>
    <row r="16" spans="1:9" s="4" customFormat="1" ht="27" customHeight="1" x14ac:dyDescent="0.25">
      <c r="A16" s="31"/>
      <c r="B16" s="489" t="str">
        <f>VLOOKUP("T.07.11",Translation,LanguageNo+1,FALSE)</f>
        <v>BVG Term</v>
      </c>
      <c r="C16" s="490" t="s">
        <v>1493</v>
      </c>
      <c r="D16" s="495">
        <f>D15*MAX(D13-D14,0)</f>
        <v>0</v>
      </c>
      <c r="E16" s="495"/>
    </row>
    <row r="17" spans="1:5" ht="27" customHeight="1" x14ac:dyDescent="0.25">
      <c r="A17" s="23"/>
      <c r="B17" s="492" t="str">
        <f>VLOOKUP("T.07.12",Translation,LanguageNo+1,FALSE)</f>
        <v>Barwert zukünftiger Überschüsse - Barwert fest zugesagter Überschüsse</v>
      </c>
      <c r="C17" s="496" t="s">
        <v>1494</v>
      </c>
      <c r="D17" s="497">
        <f>D16+MAX(D11-D12,0)</f>
        <v>0</v>
      </c>
      <c r="E17" s="497">
        <f>MAX(E11-E12,0)</f>
        <v>0</v>
      </c>
    </row>
    <row r="18" spans="1:5" ht="27" customHeight="1" x14ac:dyDescent="0.25">
      <c r="B18" s="553" t="str">
        <f>VLOOKUP("T.07.13",Translation,LanguageNo+1,FALSE)</f>
        <v>Beteiligungswert vor Steuern</v>
      </c>
      <c r="C18" s="557" t="s">
        <v>1549</v>
      </c>
      <c r="D18" s="559">
        <f>D10-D17</f>
        <v>0</v>
      </c>
      <c r="E18" s="559">
        <f>E10-E17</f>
        <v>0</v>
      </c>
    </row>
    <row r="19" spans="1:5" ht="27" customHeight="1" x14ac:dyDescent="0.25">
      <c r="B19" s="486" t="str">
        <f>VLOOKUP("T.07.14",Translation,LanguageNo+1,FALSE)</f>
        <v>Eigenkapital nach OR</v>
      </c>
      <c r="C19" s="560" t="s">
        <v>1553</v>
      </c>
      <c r="D19" s="488"/>
      <c r="E19" s="488"/>
    </row>
    <row r="20" spans="1:5" ht="24.75" customHeight="1" x14ac:dyDescent="0.25">
      <c r="B20" s="486" t="str">
        <f>VLOOKUP("T.07.15",Translation,LanguageNo+1,FALSE)</f>
        <v>Steuersatz</v>
      </c>
      <c r="C20" s="499" t="s">
        <v>1481</v>
      </c>
      <c r="D20" s="488">
        <v>0.21</v>
      </c>
      <c r="E20" s="488">
        <v>0.21</v>
      </c>
    </row>
    <row r="21" spans="1:5" ht="28.5" customHeight="1" x14ac:dyDescent="0.25">
      <c r="B21" s="489" t="str">
        <f>VLOOKUP("T.07.16",Translation,LanguageNo+1,FALSE)</f>
        <v>Steuerabzug</v>
      </c>
      <c r="C21" s="500" t="s">
        <v>1495</v>
      </c>
      <c r="D21" s="501">
        <f>MAX((D18-D19)*D20,0)</f>
        <v>0</v>
      </c>
      <c r="E21" s="501">
        <f>MAX((E18-E19)*E20,0)</f>
        <v>0</v>
      </c>
    </row>
    <row r="22" spans="1:5" ht="25.5" customHeight="1" x14ac:dyDescent="0.25">
      <c r="B22" s="492" t="str">
        <f>VLOOKUP("T.07.17",Translation,LanguageNo+1,FALSE)</f>
        <v>Wert einer SST-pflichtigen Beteiligung aus Transferperspektive</v>
      </c>
      <c r="C22" s="558" t="s">
        <v>1550</v>
      </c>
      <c r="D22" s="497">
        <f>D18-D21</f>
        <v>0</v>
      </c>
      <c r="E22" s="497">
        <f>E18-E21</f>
        <v>0</v>
      </c>
    </row>
    <row r="23" spans="1:5" ht="24.75" customHeight="1" x14ac:dyDescent="0.25">
      <c r="B23" s="502" t="str">
        <f>VLOOKUP("T.07.18",Translation,LanguageNo+1,FALSE)</f>
        <v>Beteiligungsanteil</v>
      </c>
      <c r="C23" s="500"/>
      <c r="D23" s="491">
        <v>1</v>
      </c>
      <c r="E23" s="491">
        <v>1</v>
      </c>
    </row>
    <row r="24" spans="1:5" ht="24.75" customHeight="1" x14ac:dyDescent="0.25">
      <c r="B24" s="492" t="str">
        <f>VLOOKUP("T.07.19",Translation,LanguageNo+1,FALSE)</f>
        <v>Beteiligungswert</v>
      </c>
      <c r="C24" s="496" t="str">
        <f>VLOOKUP("T.07.23",Translation,LanguageNo+1,FALSE)</f>
        <v>gemäss Technische Beschreibung Standardmodell Beteiligungen</v>
      </c>
      <c r="D24" s="503">
        <f>D23*D22</f>
        <v>0</v>
      </c>
      <c r="E24" s="503">
        <f>E23*E22</f>
        <v>0</v>
      </c>
    </row>
    <row r="25" spans="1:5" ht="25.5" customHeight="1" x14ac:dyDescent="0.25">
      <c r="B25" s="486" t="str">
        <f>VLOOKUP("T.07.20",Translation,LanguageNo+1,FALSE)</f>
        <v>Skalierungsfaktor</v>
      </c>
      <c r="C25" s="498" t="str">
        <f>VLOOKUP("T.07.23",Translation,LanguageNo+1,FALSE)</f>
        <v>gemäss Technische Beschreibung Standardmodell Beteiligungen</v>
      </c>
      <c r="D25" s="548" t="e">
        <f>D23*IF(D9="Skalierung",D22/(D22+D17+D21), (1-D20)*(D22+D21)/(D22+D17+D21))</f>
        <v>#DIV/0!</v>
      </c>
      <c r="E25" s="548" t="e">
        <f>E23*E22/(E22+E17+E21)</f>
        <v>#DIV/0!</v>
      </c>
    </row>
    <row r="26" spans="1:5" ht="24.75" customHeight="1" x14ac:dyDescent="0.25">
      <c r="B26" s="486" t="str">
        <f>VLOOKUP("T.07.21",Translation,LanguageNo+1,FALSE)</f>
        <v>LLPO anwenden</v>
      </c>
      <c r="C26" s="498" t="str">
        <f>VLOOKUP("T.07.23",Translation,LanguageNo+1,FALSE)</f>
        <v>gemäss Technische Beschreibung Standardmodell Beteiligungen</v>
      </c>
      <c r="D26" s="548" t="s">
        <v>1511</v>
      </c>
      <c r="E26" s="548" t="s">
        <v>1511</v>
      </c>
    </row>
    <row r="27" spans="1:5" ht="27" customHeight="1" x14ac:dyDescent="0.25">
      <c r="B27" s="489" t="str">
        <f>VLOOKUP("T.07.22",Translation,LanguageNo+1,FALSE)</f>
        <v>Simulationen der Tochter unter Marktrisiko der Beteiligungen ausweisen</v>
      </c>
      <c r="C27" s="500" t="str">
        <f>VLOOKUP("T.07.23",Translation,LanguageNo+1,FALSE)</f>
        <v>gemäss Technische Beschreibung Standardmodell Beteiligungen</v>
      </c>
      <c r="D27" s="504" t="s">
        <v>1512</v>
      </c>
      <c r="E27" s="504" t="s">
        <v>1512</v>
      </c>
    </row>
    <row r="28" spans="1:5" ht="12.75" customHeight="1" x14ac:dyDescent="0.25">
      <c r="E28" s="308"/>
    </row>
    <row r="29" spans="1:5" ht="28.5" customHeight="1" x14ac:dyDescent="0.25">
      <c r="E29" s="308"/>
    </row>
    <row r="30" spans="1:5" ht="12.75" customHeight="1" x14ac:dyDescent="0.25">
      <c r="E30" s="308"/>
    </row>
  </sheetData>
  <dataValidations count="4">
    <dataValidation type="list" allowBlank="1" showInputMessage="1" showErrorMessage="1" sqref="D7:E7" xr:uid="{00000000-0002-0000-0200-000000000000}">
      <formula1>"CHF, EUR, USD, GBP, JPY"</formula1>
    </dataValidation>
    <dataValidation type="list" allowBlank="1" showInputMessage="1" showErrorMessage="1" sqref="D9" xr:uid="{00000000-0002-0000-0200-000001000000}">
      <formula1>"Skalierung, Modifizierte Skalierung"</formula1>
    </dataValidation>
    <dataValidation type="list" allowBlank="1" showInputMessage="1" showErrorMessage="1" sqref="E9" xr:uid="{00000000-0002-0000-0200-000002000000}">
      <formula1>"Skalierung"</formula1>
    </dataValidation>
    <dataValidation type="list" allowBlank="1" showInputMessage="1" showErrorMessage="1" sqref="D26:E27" xr:uid="{00000000-0002-0000-0200-000003000000}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4">
    <tabColor rgb="FFD4ECF9"/>
    <pageSetUpPr fitToPage="1"/>
  </sheetPr>
  <dimension ref="A1:W297"/>
  <sheetViews>
    <sheetView showGridLines="0" zoomScale="90" zoomScaleNormal="90" workbookViewId="0"/>
  </sheetViews>
  <sheetFormatPr baseColWidth="10" defaultColWidth="8.85546875" defaultRowHeight="12.75" x14ac:dyDescent="0.25"/>
  <cols>
    <col min="1" max="1" width="5.7109375" style="84" customWidth="1"/>
    <col min="2" max="2" width="5.7109375" style="59" customWidth="1"/>
    <col min="3" max="3" width="14.7109375" style="55" customWidth="1"/>
    <col min="4" max="4" width="95.7109375" style="60" customWidth="1"/>
    <col min="5" max="5" width="12.7109375" style="61" customWidth="1"/>
    <col min="6" max="6" width="12.7109375" style="62" customWidth="1"/>
    <col min="7" max="7" width="12.7109375" style="61" customWidth="1"/>
    <col min="8" max="8" width="12.7109375" style="364" customWidth="1"/>
    <col min="9" max="9" width="8.85546875" style="84" customWidth="1"/>
    <col min="10" max="10" width="45" style="84" customWidth="1"/>
    <col min="11" max="17" width="15.5703125" style="84" customWidth="1"/>
    <col min="18" max="19" width="8.85546875" style="84" customWidth="1"/>
    <col min="20" max="16384" width="8.85546875" style="84"/>
  </cols>
  <sheetData>
    <row r="1" spans="1:21" ht="20.100000000000001" customHeight="1" x14ac:dyDescent="0.25">
      <c r="A1" s="303">
        <v>4</v>
      </c>
      <c r="B1" s="304" t="str">
        <f>IF(Language="DE", list_of_sheets!D10, IF(Language="FR", list_of_sheets!E10,list_of_sheets!F10))</f>
        <v>SST-Bilanz</v>
      </c>
      <c r="D1" s="164"/>
      <c r="E1" s="57"/>
      <c r="F1" s="57"/>
      <c r="G1" s="57"/>
      <c r="H1" s="363"/>
      <c r="I1" s="164"/>
    </row>
    <row r="2" spans="1:21" ht="14.25" customHeight="1" x14ac:dyDescent="0.25"/>
    <row r="3" spans="1:21" ht="14.25" customHeight="1" x14ac:dyDescent="0.25"/>
    <row r="4" spans="1:21" ht="14.25" customHeight="1" x14ac:dyDescent="0.25">
      <c r="C4" s="63"/>
      <c r="E4" s="64"/>
      <c r="F4" s="65"/>
      <c r="G4" s="64"/>
      <c r="H4" s="365"/>
    </row>
    <row r="5" spans="1:21" ht="78.75" customHeight="1" x14ac:dyDescent="0.25">
      <c r="B5" s="66" t="str">
        <f>VLOOKUP("T.08.03",Translation,LanguageNo+1,FALSE)</f>
        <v>Staffelrechnung</v>
      </c>
      <c r="C5" s="67"/>
      <c r="D5" s="68" t="str">
        <f>VLOOKUP("T.08.02",Translation,LanguageNo+1,FALSE)</f>
        <v>SST-Bilanz für das BVG Geschäft</v>
      </c>
      <c r="E5" s="69" t="str">
        <f>VLOOKUP("T.08.05",Translation,LanguageNo+1,FALSE)
&amp;Unit &amp;SST_Currency</f>
        <v>Marktkonformer Wert bzw. Best Estimate  in Mio. CHF</v>
      </c>
      <c r="F5" s="69" t="str">
        <f>VLOOKUP("T.08.06",Translation,LanguageNo+1,FALSE)
&amp;" "&amp;Unit &amp;SST_Currency</f>
        <v>Differenzen aufgrund des veränderten Stichtages in Mio. CHF</v>
      </c>
      <c r="G5" s="69" t="str">
        <f>VLOOKUP("T.08.05",Translation,LanguageNo+1,FALSE)
&amp;Unit &amp;SST_Currency</f>
        <v>Marktkonformer Wert bzw. Best Estimate  in Mio. CHF</v>
      </c>
      <c r="H5" s="366"/>
    </row>
    <row r="6" spans="1:21" ht="30" customHeight="1" x14ac:dyDescent="0.25">
      <c r="B6" s="70" t="s">
        <v>32</v>
      </c>
      <c r="C6" s="71" t="str">
        <f>VLOOKUP("T.08.04",Translation,LanguageNo+1,FALSE)</f>
        <v>Kontonummer</v>
      </c>
      <c r="D6" s="72"/>
      <c r="E6" s="73" t="str">
        <f>"31.12."&amp;Year-1</f>
        <v>31.12.2023</v>
      </c>
      <c r="F6" s="69"/>
      <c r="G6" s="74" t="str">
        <f>"01.01."&amp;Year</f>
        <v>01.01.2024</v>
      </c>
      <c r="H6" s="367" t="str">
        <f>VLOOKUP("T.08.07",Translation,LanguageNo+1,FALSE)</f>
        <v>in % der Total Aktiven</v>
      </c>
    </row>
    <row r="7" spans="1:21" ht="14.25" customHeight="1" x14ac:dyDescent="0.2">
      <c r="B7" s="75"/>
      <c r="D7" s="76" t="str">
        <f>VLOOKUP("T.08.08",Translation,LanguageNo+1,FALSE)</f>
        <v>1.1 Kapitalanlagen</v>
      </c>
      <c r="E7" s="77"/>
      <c r="F7" s="78"/>
      <c r="G7" s="77"/>
      <c r="H7" s="368"/>
      <c r="T7" s="380"/>
      <c r="U7" s="381"/>
    </row>
    <row r="8" spans="1:21" ht="14.25" customHeight="1" x14ac:dyDescent="0.25">
      <c r="B8" s="75" t="s">
        <v>147</v>
      </c>
      <c r="C8" s="139" t="s">
        <v>1145</v>
      </c>
      <c r="D8" s="81" t="str">
        <f>VLOOKUP("T.08.09",Translation,LanguageNo+1,FALSE)</f>
        <v>1.1.1 Immobilien</v>
      </c>
      <c r="E8" s="82">
        <f>SUM(E9:E17)</f>
        <v>0</v>
      </c>
      <c r="F8" s="82">
        <f>SUM(F9:F17)</f>
        <v>0</v>
      </c>
      <c r="G8" s="83">
        <f>E8+F8</f>
        <v>0</v>
      </c>
      <c r="H8" s="369">
        <f>IF($G$169=0,0,G8/$G$169)</f>
        <v>0</v>
      </c>
    </row>
    <row r="9" spans="1:21" ht="14.25" customHeight="1" x14ac:dyDescent="0.25">
      <c r="B9" s="217" t="s">
        <v>150</v>
      </c>
      <c r="C9" s="50"/>
      <c r="D9" s="217" t="str">
        <f>VLOOKUP("T.08.10",Translation,LanguageNo+1,FALSE)</f>
        <v>Wohnimmobilien: Inland</v>
      </c>
      <c r="E9" s="85"/>
      <c r="F9" s="86"/>
      <c r="G9" s="87">
        <f t="shared" ref="G9:G72" si="0">E9+F9</f>
        <v>0</v>
      </c>
      <c r="H9" s="370"/>
      <c r="T9" s="382"/>
      <c r="U9" s="89"/>
    </row>
    <row r="10" spans="1:21" ht="14.25" customHeight="1" x14ac:dyDescent="0.25">
      <c r="B10" s="217" t="s">
        <v>153</v>
      </c>
      <c r="C10" s="50"/>
      <c r="D10" s="217" t="str">
        <f>VLOOKUP("T.08.11",Translation,LanguageNo+1,FALSE)</f>
        <v>Wohnimmobilien Ausland</v>
      </c>
      <c r="E10" s="85"/>
      <c r="F10" s="86"/>
      <c r="G10" s="87">
        <f t="shared" si="0"/>
        <v>0</v>
      </c>
      <c r="H10" s="370"/>
      <c r="T10" s="382"/>
      <c r="U10" s="89"/>
    </row>
    <row r="11" spans="1:21" ht="14.25" customHeight="1" x14ac:dyDescent="0.25">
      <c r="B11" s="217" t="s">
        <v>157</v>
      </c>
      <c r="C11" s="50"/>
      <c r="D11" s="217" t="str">
        <f>VLOOKUP("T.08.12",Translation,LanguageNo+1,FALSE)</f>
        <v>Büro- und Verwaltungsbauten: Inland</v>
      </c>
      <c r="E11" s="85"/>
      <c r="F11" s="86"/>
      <c r="G11" s="87">
        <f t="shared" si="0"/>
        <v>0</v>
      </c>
      <c r="H11" s="370"/>
      <c r="T11" s="382"/>
      <c r="U11" s="90"/>
    </row>
    <row r="12" spans="1:21" ht="14.25" customHeight="1" x14ac:dyDescent="0.25">
      <c r="B12" s="217" t="s">
        <v>161</v>
      </c>
      <c r="C12" s="50"/>
      <c r="D12" s="217" t="str">
        <f>VLOOKUP("T.08.13",Translation,LanguageNo+1,FALSE)</f>
        <v>Büro- und Verwaltungsbauten: Ausland</v>
      </c>
      <c r="E12" s="85"/>
      <c r="F12" s="86"/>
      <c r="G12" s="87">
        <f t="shared" si="0"/>
        <v>0</v>
      </c>
      <c r="H12" s="370"/>
      <c r="T12" s="382"/>
      <c r="U12" s="90"/>
    </row>
    <row r="13" spans="1:21" ht="14.25" customHeight="1" x14ac:dyDescent="0.25">
      <c r="B13" s="217" t="s">
        <v>165</v>
      </c>
      <c r="C13" s="50"/>
      <c r="D13" s="217" t="str">
        <f>VLOOKUP("T.08.14",Translation,LanguageNo+1,FALSE)</f>
        <v>Gemischtgenutzte Immobilien: Inland</v>
      </c>
      <c r="E13" s="85"/>
      <c r="F13" s="86"/>
      <c r="G13" s="87">
        <f t="shared" si="0"/>
        <v>0</v>
      </c>
      <c r="H13" s="370"/>
      <c r="T13" s="382"/>
      <c r="U13" s="89"/>
    </row>
    <row r="14" spans="1:21" ht="14.25" customHeight="1" x14ac:dyDescent="0.25">
      <c r="B14" s="217" t="s">
        <v>169</v>
      </c>
      <c r="C14" s="50"/>
      <c r="D14" s="307" t="str">
        <f>VLOOKUP("T.08.15",Translation,LanguageNo+1,FALSE)</f>
        <v>Angefangene Bauten: Inland</v>
      </c>
      <c r="E14" s="85"/>
      <c r="F14" s="86"/>
      <c r="G14" s="87">
        <f t="shared" si="0"/>
        <v>0</v>
      </c>
      <c r="H14" s="370"/>
      <c r="T14" s="382"/>
      <c r="U14" s="90"/>
    </row>
    <row r="15" spans="1:21" ht="14.25" customHeight="1" x14ac:dyDescent="0.25">
      <c r="B15" s="217" t="s">
        <v>172</v>
      </c>
      <c r="C15" s="50"/>
      <c r="D15" s="307" t="str">
        <f>VLOOKUP("T.08.16",Translation,LanguageNo+1,FALSE)</f>
        <v>Bauland: Inland</v>
      </c>
      <c r="E15" s="85"/>
      <c r="F15" s="86"/>
      <c r="G15" s="87">
        <f t="shared" si="0"/>
        <v>0</v>
      </c>
      <c r="H15" s="370"/>
      <c r="T15" s="382"/>
      <c r="U15" s="90"/>
    </row>
    <row r="16" spans="1:21" ht="14.25" customHeight="1" x14ac:dyDescent="0.25">
      <c r="B16" s="217" t="s">
        <v>176</v>
      </c>
      <c r="C16" s="50" t="s">
        <v>181</v>
      </c>
      <c r="D16" s="217" t="str">
        <f>VLOOKUP("T.08.17",Translation,LanguageNo+1,FALSE)</f>
        <v>Übrige Immobilien: Inland</v>
      </c>
      <c r="E16" s="85"/>
      <c r="F16" s="86"/>
      <c r="G16" s="87">
        <f t="shared" si="0"/>
        <v>0</v>
      </c>
      <c r="H16" s="370"/>
    </row>
    <row r="17" spans="2:21" ht="14.25" customHeight="1" x14ac:dyDescent="0.25">
      <c r="B17" s="217" t="s">
        <v>180</v>
      </c>
      <c r="C17" s="50" t="s">
        <v>181</v>
      </c>
      <c r="D17" s="217" t="str">
        <f>VLOOKUP("T.08.18",Translation,LanguageNo+1,FALSE)</f>
        <v>Übrige Immobilien: Ausland</v>
      </c>
      <c r="E17" s="131"/>
      <c r="F17" s="275"/>
      <c r="G17" s="87">
        <f t="shared" si="0"/>
        <v>0</v>
      </c>
      <c r="H17" s="370"/>
    </row>
    <row r="18" spans="2:21" ht="14.25" customHeight="1" x14ac:dyDescent="0.25">
      <c r="B18" s="222"/>
      <c r="C18" s="94"/>
      <c r="D18" s="158"/>
      <c r="E18" s="96"/>
      <c r="F18" s="96"/>
      <c r="G18" s="96"/>
      <c r="H18" s="371"/>
    </row>
    <row r="19" spans="2:21" ht="14.25" customHeight="1" x14ac:dyDescent="0.25">
      <c r="B19" s="307" t="s">
        <v>185</v>
      </c>
      <c r="C19" s="139" t="s">
        <v>1146</v>
      </c>
      <c r="D19" s="81" t="str">
        <f>VLOOKUP("T.08.19",Translation,LanguageNo+1,FALSE)</f>
        <v>1.1.2 Beteiligungen</v>
      </c>
      <c r="E19" s="276">
        <f>E20+E24</f>
        <v>0</v>
      </c>
      <c r="F19" s="276">
        <f>F20+F24</f>
        <v>0</v>
      </c>
      <c r="G19" s="97">
        <f t="shared" si="0"/>
        <v>0</v>
      </c>
      <c r="H19" s="369">
        <f>IF($G$169=0,0,G19/$G$169)</f>
        <v>0</v>
      </c>
    </row>
    <row r="20" spans="2:21" ht="14.25" customHeight="1" x14ac:dyDescent="0.25">
      <c r="B20" s="307" t="s">
        <v>189</v>
      </c>
      <c r="C20" s="139" t="s">
        <v>1147</v>
      </c>
      <c r="D20" s="98" t="str">
        <f>VLOOKUP("T.08.20",Translation,LanguageNo+1,FALSE)</f>
        <v>Beteiligungen: Quote &gt; 50 %</v>
      </c>
      <c r="E20" s="99">
        <f>SUM(E21:E22)</f>
        <v>0</v>
      </c>
      <c r="F20" s="99">
        <f>SUM(F21:F22)</f>
        <v>0</v>
      </c>
      <c r="G20" s="100">
        <f t="shared" si="0"/>
        <v>0</v>
      </c>
      <c r="H20" s="370"/>
      <c r="T20" s="382"/>
      <c r="U20" s="90"/>
    </row>
    <row r="21" spans="2:21" ht="14.25" customHeight="1" x14ac:dyDescent="0.25">
      <c r="B21" s="217" t="s">
        <v>193</v>
      </c>
      <c r="C21" s="307"/>
      <c r="D21" s="145" t="str">
        <f>VLOOKUP("T.08.21",Translation,LanguageNo+1,FALSE)</f>
        <v>Beteiligungen an Versicherungsgesellschaften</v>
      </c>
      <c r="E21" s="85"/>
      <c r="F21" s="86"/>
      <c r="G21" s="100">
        <f t="shared" si="0"/>
        <v>0</v>
      </c>
      <c r="H21" s="370"/>
      <c r="U21" s="90"/>
    </row>
    <row r="22" spans="2:21" ht="14.25" customHeight="1" x14ac:dyDescent="0.25">
      <c r="B22" s="307" t="s">
        <v>195</v>
      </c>
      <c r="C22" s="50"/>
      <c r="D22" s="145" t="str">
        <f>VLOOKUP("T.08.22",Translation,LanguageNo+1,FALSE)</f>
        <v>Übrige Beteiligungen</v>
      </c>
      <c r="E22" s="131"/>
      <c r="F22" s="275"/>
      <c r="G22" s="100">
        <f t="shared" si="0"/>
        <v>0</v>
      </c>
      <c r="H22" s="370"/>
    </row>
    <row r="23" spans="2:21" ht="14.25" customHeight="1" x14ac:dyDescent="0.25">
      <c r="B23" s="101"/>
      <c r="C23" s="101"/>
      <c r="D23" s="158"/>
      <c r="E23" s="96"/>
      <c r="F23" s="96"/>
      <c r="G23" s="96"/>
      <c r="H23" s="371"/>
    </row>
    <row r="24" spans="2:21" ht="14.25" customHeight="1" x14ac:dyDescent="0.25">
      <c r="B24" s="217" t="s">
        <v>198</v>
      </c>
      <c r="C24" s="139" t="s">
        <v>1148</v>
      </c>
      <c r="D24" s="98" t="str">
        <f>VLOOKUP("T.08.23",Translation,LanguageNo+1,FALSE)</f>
        <v>Beteiligungen: Quote 20 % bis 50 %</v>
      </c>
      <c r="E24" s="127">
        <f>SUM(E25:E26)</f>
        <v>0</v>
      </c>
      <c r="F24" s="127">
        <f>SUM(F25:F26)</f>
        <v>0</v>
      </c>
      <c r="G24" s="100">
        <f t="shared" si="0"/>
        <v>0</v>
      </c>
      <c r="H24" s="370"/>
      <c r="T24" s="382"/>
      <c r="U24" s="90"/>
    </row>
    <row r="25" spans="2:21" ht="14.25" customHeight="1" x14ac:dyDescent="0.25">
      <c r="B25" s="217" t="s">
        <v>201</v>
      </c>
      <c r="C25" s="307"/>
      <c r="D25" s="145" t="str">
        <f>VLOOKUP("T.08.24",Translation,LanguageNo+1,FALSE)</f>
        <v>Beteiligungen an Versicherungsgesellschaften</v>
      </c>
      <c r="E25" s="85"/>
      <c r="F25" s="86"/>
      <c r="G25" s="100">
        <f t="shared" si="0"/>
        <v>0</v>
      </c>
      <c r="H25" s="370"/>
      <c r="U25" s="90"/>
    </row>
    <row r="26" spans="2:21" ht="14.25" customHeight="1" x14ac:dyDescent="0.25">
      <c r="B26" s="307" t="s">
        <v>202</v>
      </c>
      <c r="C26" s="50"/>
      <c r="D26" s="145" t="str">
        <f>VLOOKUP("T.08.25",Translation,LanguageNo+1,FALSE)</f>
        <v>Übrige Beteiligungen</v>
      </c>
      <c r="E26" s="131"/>
      <c r="F26" s="275"/>
      <c r="G26" s="100">
        <f t="shared" si="0"/>
        <v>0</v>
      </c>
      <c r="H26" s="370"/>
    </row>
    <row r="27" spans="2:21" ht="14.25" customHeight="1" x14ac:dyDescent="0.25">
      <c r="B27" s="158"/>
      <c r="C27" s="102"/>
      <c r="D27" s="158"/>
      <c r="E27" s="96"/>
      <c r="F27" s="96"/>
      <c r="G27" s="96"/>
      <c r="H27" s="371"/>
      <c r="J27" s="103"/>
      <c r="K27" s="571" t="str">
        <f>"Aufriss nach Rating "&amp;Unit &amp; SST_Currency</f>
        <v>Aufriss nach Rating in Mio. CHF</v>
      </c>
      <c r="L27" s="572" t="s">
        <v>204</v>
      </c>
      <c r="M27" s="572" t="s">
        <v>205</v>
      </c>
      <c r="N27" s="568" t="s">
        <v>206</v>
      </c>
      <c r="O27" s="568" t="s">
        <v>207</v>
      </c>
    </row>
    <row r="28" spans="2:21" ht="14.25" customHeight="1" x14ac:dyDescent="0.25">
      <c r="B28" s="217" t="s">
        <v>203</v>
      </c>
      <c r="C28" s="139" t="s">
        <v>1149</v>
      </c>
      <c r="D28" s="81" t="str">
        <f>VLOOKUP("T.08.26",Translation,LanguageNo+1,FALSE)</f>
        <v>1.1.3 Festverzinsliche Wertpapiere</v>
      </c>
      <c r="E28" s="278">
        <f>E29+E32+SUM(E34:E36)</f>
        <v>0</v>
      </c>
      <c r="F28" s="278">
        <f>F29+F32+SUM(F34:F36)</f>
        <v>0</v>
      </c>
      <c r="G28" s="97">
        <f t="shared" si="0"/>
        <v>0</v>
      </c>
      <c r="H28" s="369">
        <f>IF($G$169=0,0,G28/$G$169)</f>
        <v>0</v>
      </c>
      <c r="J28" s="103"/>
      <c r="K28" s="571"/>
      <c r="L28" s="572"/>
      <c r="M28" s="572"/>
      <c r="N28" s="568"/>
      <c r="O28" s="568"/>
    </row>
    <row r="29" spans="2:21" ht="14.25" customHeight="1" x14ac:dyDescent="0.25">
      <c r="B29" s="217" t="s">
        <v>208</v>
      </c>
      <c r="C29" s="139" t="s">
        <v>1150</v>
      </c>
      <c r="D29" s="217" t="str">
        <f>VLOOKUP("T.08.27",Translation,LanguageNo+1,FALSE)</f>
        <v>Staats- und Zentralbankenanleihen</v>
      </c>
      <c r="E29" s="85"/>
      <c r="F29" s="104"/>
      <c r="G29" s="100">
        <f t="shared" si="0"/>
        <v>0</v>
      </c>
      <c r="H29" s="370"/>
      <c r="J29" s="105" t="str">
        <f>VLOOKUP("T.08.27",Translation,LanguageNo+1,FALSE)</f>
        <v>Staats- und Zentralbankenanleihen</v>
      </c>
      <c r="K29" s="79" t="str">
        <f>IF(ABS(G29-SUM(L29:O29)) &lt; 0.01,"OK","Korrektur")</f>
        <v>OK</v>
      </c>
      <c r="L29" s="106"/>
      <c r="M29" s="107"/>
      <c r="N29" s="107"/>
      <c r="O29" s="107"/>
      <c r="T29" s="382"/>
      <c r="U29" s="90"/>
    </row>
    <row r="30" spans="2:21" ht="14.25" customHeight="1" x14ac:dyDescent="0.25">
      <c r="B30" s="145" t="s">
        <v>211</v>
      </c>
      <c r="C30" s="125"/>
      <c r="D30" s="108" t="str">
        <f>VLOOKUP("T.08.28",Translation,LanguageNo+1,FALSE)</f>
        <v>davon Schweizer Kantone und Gemeinden</v>
      </c>
      <c r="E30" s="109"/>
      <c r="F30" s="110"/>
      <c r="G30" s="111">
        <f t="shared" si="0"/>
        <v>0</v>
      </c>
      <c r="H30" s="370"/>
      <c r="J30" s="112"/>
      <c r="K30" s="112"/>
      <c r="L30" s="113"/>
      <c r="M30" s="114"/>
      <c r="N30" s="114"/>
      <c r="O30" s="114"/>
    </row>
    <row r="31" spans="2:21" ht="14.25" customHeight="1" x14ac:dyDescent="0.25">
      <c r="B31" s="145" t="s">
        <v>213</v>
      </c>
      <c r="C31" s="125"/>
      <c r="D31" s="108" t="str">
        <f>VLOOKUP("T.08.29",Translation,LanguageNo+1,FALSE)</f>
        <v>davon andere öffentliche Körperschaften</v>
      </c>
      <c r="E31" s="109"/>
      <c r="F31" s="110"/>
      <c r="G31" s="111">
        <f t="shared" si="0"/>
        <v>0</v>
      </c>
      <c r="H31" s="370"/>
      <c r="J31" s="79"/>
      <c r="K31" s="79"/>
      <c r="L31" s="115"/>
      <c r="M31" s="116"/>
      <c r="N31" s="116"/>
      <c r="O31" s="116"/>
    </row>
    <row r="32" spans="2:21" ht="14.25" customHeight="1" x14ac:dyDescent="0.25">
      <c r="B32" s="145" t="s">
        <v>214</v>
      </c>
      <c r="C32" s="139" t="s">
        <v>1151</v>
      </c>
      <c r="D32" s="217" t="str">
        <f>VLOOKUP("T.08.30",Translation,LanguageNo+1,FALSE)</f>
        <v>Unternehmensanleihen</v>
      </c>
      <c r="E32" s="85"/>
      <c r="F32" s="104"/>
      <c r="G32" s="100">
        <f t="shared" si="0"/>
        <v>0</v>
      </c>
      <c r="H32" s="370"/>
      <c r="J32" s="158" t="str">
        <f>VLOOKUP("T.08.30",Translation,LanguageNo+1,FALSE)</f>
        <v>Unternehmensanleihen</v>
      </c>
      <c r="K32" s="145" t="str">
        <f>IF(ABS(G32-SUM(L32:O32)) &lt; 0.01,"OK","Korrektur")</f>
        <v>OK</v>
      </c>
      <c r="L32" s="52"/>
      <c r="M32" s="51"/>
      <c r="N32" s="51"/>
      <c r="O32" s="51"/>
      <c r="T32" s="382"/>
      <c r="U32" s="90"/>
    </row>
    <row r="33" spans="2:21" ht="14.25" customHeight="1" x14ac:dyDescent="0.25">
      <c r="B33" s="217" t="s">
        <v>218</v>
      </c>
      <c r="C33" s="50"/>
      <c r="D33" s="108" t="str">
        <f>VLOOKUP("T.08.31",Translation,LanguageNo+1,FALSE)</f>
        <v>davon Banken und Effektenhändler</v>
      </c>
      <c r="E33" s="109"/>
      <c r="F33" s="110"/>
      <c r="G33" s="111">
        <f t="shared" si="0"/>
        <v>0</v>
      </c>
      <c r="H33" s="370"/>
      <c r="J33" s="145"/>
      <c r="K33" s="145"/>
      <c r="L33" s="53"/>
      <c r="M33" s="117"/>
      <c r="N33" s="117"/>
      <c r="O33" s="117"/>
    </row>
    <row r="34" spans="2:21" ht="14.25" customHeight="1" x14ac:dyDescent="0.25">
      <c r="B34" s="217" t="s">
        <v>222</v>
      </c>
      <c r="C34" s="139" t="s">
        <v>1152</v>
      </c>
      <c r="D34" s="50" t="str">
        <f>VLOOKUP("T.08.32",Translation,LanguageNo+1,FALSE)</f>
        <v>Pfandbriefanleihen / Covered Bonds</v>
      </c>
      <c r="E34" s="85"/>
      <c r="F34" s="104"/>
      <c r="G34" s="100">
        <f t="shared" si="0"/>
        <v>0</v>
      </c>
      <c r="H34" s="370"/>
      <c r="J34" s="569" t="str">
        <f>VLOOKUP("T.08.209",Translation,LanguageNo+1,FALSE)</f>
        <v>Alle anderen Anleihen (Pfandbriefanleihen, Wandelanleihen, sonstige Anleihen)</v>
      </c>
      <c r="K34" s="112" t="str">
        <f>IF(ABS(SUM(G34:G36)-SUM(L34:O34)) &lt; 0.01,"OK","Korrektur")</f>
        <v>OK</v>
      </c>
      <c r="L34" s="118"/>
      <c r="M34" s="119"/>
      <c r="N34" s="119"/>
      <c r="O34" s="119"/>
      <c r="U34" s="90"/>
    </row>
    <row r="35" spans="2:21" ht="14.25" customHeight="1" x14ac:dyDescent="0.25">
      <c r="B35" s="217" t="s">
        <v>226</v>
      </c>
      <c r="C35" s="139" t="s">
        <v>1153</v>
      </c>
      <c r="D35" s="50" t="str">
        <f>VLOOKUP("T.08.33",Translation,LanguageNo+1,FALSE)</f>
        <v>Wandelanleihen</v>
      </c>
      <c r="E35" s="85"/>
      <c r="F35" s="104"/>
      <c r="G35" s="100">
        <f t="shared" si="0"/>
        <v>0</v>
      </c>
      <c r="H35" s="370"/>
      <c r="J35" s="570"/>
      <c r="K35" s="120"/>
      <c r="L35" s="120"/>
      <c r="M35" s="120"/>
      <c r="N35" s="120"/>
      <c r="O35" s="120"/>
      <c r="T35" s="382"/>
      <c r="U35" s="90"/>
    </row>
    <row r="36" spans="2:21" ht="14.25" customHeight="1" x14ac:dyDescent="0.25">
      <c r="B36" s="217" t="s">
        <v>231</v>
      </c>
      <c r="C36" s="50" t="s">
        <v>1154</v>
      </c>
      <c r="D36" s="217" t="str">
        <f>VLOOKUP("T.08.34",Translation,LanguageNo+1,FALSE)</f>
        <v>Sonstige Anleihen (inkl. Optionsanleihen, supranationale Anleihen)</v>
      </c>
      <c r="E36" s="131"/>
      <c r="F36" s="275"/>
      <c r="G36" s="100">
        <f t="shared" si="0"/>
        <v>0</v>
      </c>
      <c r="H36" s="370"/>
    </row>
    <row r="37" spans="2:21" ht="14.25" customHeight="1" x14ac:dyDescent="0.25">
      <c r="B37" s="158"/>
      <c r="C37" s="102"/>
      <c r="D37" s="158"/>
      <c r="E37" s="277"/>
      <c r="F37" s="277"/>
      <c r="G37" s="96"/>
      <c r="H37" s="371"/>
    </row>
    <row r="38" spans="2:21" ht="14.25" customHeight="1" x14ac:dyDescent="0.25">
      <c r="B38" s="217" t="s">
        <v>235</v>
      </c>
      <c r="C38" s="139" t="s">
        <v>1155</v>
      </c>
      <c r="D38" s="122" t="str">
        <f>VLOOKUP("T.08.35",Translation,LanguageNo+1,FALSE)</f>
        <v>1.1.4 Darlehen</v>
      </c>
      <c r="E38" s="279">
        <f>SUM(E39:E41)</f>
        <v>0</v>
      </c>
      <c r="F38" s="279">
        <f>SUM(F39:F41)</f>
        <v>0</v>
      </c>
      <c r="G38" s="97">
        <f t="shared" si="0"/>
        <v>0</v>
      </c>
      <c r="H38" s="369">
        <f>IF($G$169=0,0,G38/$G$169)</f>
        <v>0</v>
      </c>
    </row>
    <row r="39" spans="2:21" ht="14.25" customHeight="1" x14ac:dyDescent="0.25">
      <c r="B39" s="145" t="s">
        <v>238</v>
      </c>
      <c r="C39" s="125"/>
      <c r="D39" s="217" t="str">
        <f>VLOOKUP("T.08.36",Translation,LanguageNo+1,FALSE)</f>
        <v>Nachrangige Darlehen</v>
      </c>
      <c r="E39" s="85"/>
      <c r="F39" s="85"/>
      <c r="G39" s="100">
        <f t="shared" si="0"/>
        <v>0</v>
      </c>
      <c r="H39" s="370"/>
    </row>
    <row r="40" spans="2:21" ht="14.25" customHeight="1" x14ac:dyDescent="0.25">
      <c r="B40" s="145" t="s">
        <v>242</v>
      </c>
      <c r="C40" s="139" t="s">
        <v>1156</v>
      </c>
      <c r="D40" s="217" t="str">
        <f>VLOOKUP("T.08.37",Translation,LanguageNo+1,FALSE)</f>
        <v>Policendarlehen</v>
      </c>
      <c r="E40" s="85"/>
      <c r="F40" s="85"/>
      <c r="G40" s="100">
        <f t="shared" si="0"/>
        <v>0</v>
      </c>
      <c r="H40" s="370"/>
    </row>
    <row r="41" spans="2:21" ht="14.25" customHeight="1" x14ac:dyDescent="0.25">
      <c r="B41" s="145" t="s">
        <v>246</v>
      </c>
      <c r="C41" s="50"/>
      <c r="D41" s="217" t="str">
        <f>VLOOKUP("T.08.38",Translation,LanguageNo+1,FALSE)</f>
        <v>Sonstige Darlehen</v>
      </c>
      <c r="E41" s="131"/>
      <c r="F41" s="275"/>
      <c r="G41" s="100">
        <f t="shared" si="0"/>
        <v>0</v>
      </c>
      <c r="H41" s="370"/>
    </row>
    <row r="42" spans="2:21" ht="14.25" customHeight="1" x14ac:dyDescent="0.25">
      <c r="B42" s="158"/>
      <c r="C42" s="102"/>
      <c r="D42" s="124"/>
      <c r="E42" s="96"/>
      <c r="F42" s="96"/>
      <c r="G42" s="96"/>
      <c r="H42" s="371"/>
    </row>
    <row r="43" spans="2:21" ht="14.25" customHeight="1" x14ac:dyDescent="0.25">
      <c r="B43" s="50" t="s">
        <v>249</v>
      </c>
      <c r="C43" s="139" t="s">
        <v>1157</v>
      </c>
      <c r="D43" s="122" t="str">
        <f>VLOOKUP("T.08.39",Translation,LanguageNo+1,FALSE)</f>
        <v>1.1.5 Hypotheken</v>
      </c>
      <c r="E43" s="276">
        <f>E44+E47</f>
        <v>0</v>
      </c>
      <c r="F43" s="276">
        <f>F44+F47</f>
        <v>0</v>
      </c>
      <c r="G43" s="97">
        <f t="shared" si="0"/>
        <v>0</v>
      </c>
      <c r="H43" s="369">
        <f>IF($G$169=0,0,G43/$G$169)</f>
        <v>0</v>
      </c>
      <c r="T43" s="382"/>
      <c r="U43" s="89"/>
    </row>
    <row r="44" spans="2:21" ht="14.25" customHeight="1" x14ac:dyDescent="0.25">
      <c r="B44" s="145" t="s">
        <v>253</v>
      </c>
      <c r="C44" s="307"/>
      <c r="D44" s="307" t="str">
        <f>VLOOKUP("T.08.40",Translation,LanguageNo+1,FALSE)</f>
        <v>Hypotheken bis 80 % des Verkehrswertes</v>
      </c>
      <c r="E44" s="99">
        <f>E45+E46</f>
        <v>0</v>
      </c>
      <c r="F44" s="99">
        <f>F45+F46</f>
        <v>0</v>
      </c>
      <c r="G44" s="100">
        <f t="shared" si="0"/>
        <v>0</v>
      </c>
      <c r="H44" s="370"/>
    </row>
    <row r="45" spans="2:21" ht="14.25" customHeight="1" x14ac:dyDescent="0.25">
      <c r="B45" s="145" t="s">
        <v>257</v>
      </c>
      <c r="C45" s="125"/>
      <c r="D45" s="108" t="str">
        <f>VLOOKUP("T.08.41",Translation,LanguageNo+1,FALSE)</f>
        <v>mit festen Zinssätzen</v>
      </c>
      <c r="E45" s="109"/>
      <c r="F45" s="110"/>
      <c r="G45" s="111">
        <f t="shared" si="0"/>
        <v>0</v>
      </c>
      <c r="H45" s="370"/>
    </row>
    <row r="46" spans="2:21" ht="14.25" customHeight="1" x14ac:dyDescent="0.25">
      <c r="B46" s="145" t="s">
        <v>261</v>
      </c>
      <c r="C46" s="125"/>
      <c r="D46" s="126" t="str">
        <f>VLOOKUP("T.08.42",Translation,LanguageNo+1,FALSE)</f>
        <v>mit variablen Zinssätzen</v>
      </c>
      <c r="E46" s="109"/>
      <c r="F46" s="110"/>
      <c r="G46" s="111">
        <f t="shared" si="0"/>
        <v>0</v>
      </c>
      <c r="H46" s="370"/>
    </row>
    <row r="47" spans="2:21" ht="14.25" customHeight="1" x14ac:dyDescent="0.25">
      <c r="B47" s="307" t="s">
        <v>262</v>
      </c>
      <c r="C47" s="125"/>
      <c r="D47" s="307" t="str">
        <f>VLOOKUP("T.08.43",Translation,LanguageNo+1,FALSE)</f>
        <v>Hypotheken mehr als 80 % des Verkehrswertes</v>
      </c>
      <c r="E47" s="127">
        <f>E48+E49</f>
        <v>0</v>
      </c>
      <c r="F47" s="127">
        <f>F48+F49</f>
        <v>0</v>
      </c>
      <c r="G47" s="100">
        <f t="shared" si="0"/>
        <v>0</v>
      </c>
      <c r="H47" s="370"/>
    </row>
    <row r="48" spans="2:21" ht="14.25" customHeight="1" x14ac:dyDescent="0.25">
      <c r="B48" s="145" t="s">
        <v>263</v>
      </c>
      <c r="C48" s="307"/>
      <c r="D48" s="108" t="str">
        <f>VLOOKUP("T.08.44",Translation,LanguageNo+1,FALSE)</f>
        <v>mit festen Zinssätzen</v>
      </c>
      <c r="E48" s="109"/>
      <c r="F48" s="109"/>
      <c r="G48" s="111">
        <f t="shared" si="0"/>
        <v>0</v>
      </c>
      <c r="H48" s="370"/>
    </row>
    <row r="49" spans="2:21" ht="14.25" customHeight="1" x14ac:dyDescent="0.25">
      <c r="B49" s="307" t="s">
        <v>267</v>
      </c>
      <c r="C49" s="125"/>
      <c r="D49" s="108" t="str">
        <f>VLOOKUP("T.08.45",Translation,LanguageNo+1,FALSE)</f>
        <v>mit variablen Zinssätzen</v>
      </c>
      <c r="E49" s="280"/>
      <c r="F49" s="281"/>
      <c r="G49" s="111">
        <f t="shared" si="0"/>
        <v>0</v>
      </c>
      <c r="H49" s="370"/>
    </row>
    <row r="50" spans="2:21" ht="14.25" customHeight="1" x14ac:dyDescent="0.25">
      <c r="B50" s="94"/>
      <c r="C50" s="94"/>
      <c r="D50" s="128"/>
      <c r="E50" s="129"/>
      <c r="F50" s="129"/>
      <c r="G50" s="96"/>
      <c r="H50" s="371"/>
      <c r="T50" s="382"/>
      <c r="U50" s="89"/>
    </row>
    <row r="51" spans="2:21" ht="14.25" customHeight="1" x14ac:dyDescent="0.25">
      <c r="B51" s="307" t="s">
        <v>268</v>
      </c>
      <c r="C51" s="139" t="s">
        <v>1158</v>
      </c>
      <c r="D51" s="140" t="str">
        <f>VLOOKUP("T.08.46",Translation,LanguageNo+1,FALSE)</f>
        <v>1.1.6 Aktien</v>
      </c>
      <c r="E51" s="278">
        <f>SUM(E52:E54)</f>
        <v>0</v>
      </c>
      <c r="F51" s="278">
        <f>SUM(F52:F54)</f>
        <v>0</v>
      </c>
      <c r="G51" s="97">
        <f t="shared" si="0"/>
        <v>0</v>
      </c>
      <c r="H51" s="369">
        <f>IF($G$169=0,0,G51/$G$169)</f>
        <v>0</v>
      </c>
    </row>
    <row r="52" spans="2:21" ht="14.25" customHeight="1" x14ac:dyDescent="0.25">
      <c r="B52" s="50" t="s">
        <v>269</v>
      </c>
      <c r="C52" s="139" t="s">
        <v>1159</v>
      </c>
      <c r="D52" s="307" t="str">
        <f>VLOOKUP("T.08.47",Translation,LanguageNo+1,FALSE)</f>
        <v>Aktien und ähnliche Wertschriften</v>
      </c>
      <c r="E52" s="85"/>
      <c r="F52" s="104"/>
      <c r="G52" s="100">
        <f t="shared" si="0"/>
        <v>0</v>
      </c>
      <c r="H52" s="370"/>
    </row>
    <row r="53" spans="2:21" ht="14.25" customHeight="1" x14ac:dyDescent="0.25">
      <c r="B53" s="50" t="s">
        <v>272</v>
      </c>
      <c r="C53" s="139" t="s">
        <v>1160</v>
      </c>
      <c r="D53" s="307" t="str">
        <f>VLOOKUP("T.08.48",Translation,LanguageNo+1,FALSE)</f>
        <v>Aktien von Gruppengesellschaften</v>
      </c>
      <c r="E53" s="85"/>
      <c r="F53" s="104"/>
      <c r="G53" s="100">
        <f t="shared" si="0"/>
        <v>0</v>
      </c>
      <c r="H53" s="370"/>
    </row>
    <row r="54" spans="2:21" ht="14.25" customHeight="1" x14ac:dyDescent="0.25">
      <c r="B54" s="50" t="s">
        <v>276</v>
      </c>
      <c r="C54" s="139" t="s">
        <v>1161</v>
      </c>
      <c r="D54" s="50" t="str">
        <f>VLOOKUP("T.08.49",Translation,LanguageNo+1,FALSE)</f>
        <v>Anlagen an Immobiliengesellschaften</v>
      </c>
      <c r="E54" s="85"/>
      <c r="F54" s="104"/>
      <c r="G54" s="100">
        <f t="shared" si="0"/>
        <v>0</v>
      </c>
      <c r="H54" s="370"/>
    </row>
    <row r="55" spans="2:21" ht="14.25" customHeight="1" x14ac:dyDescent="0.25">
      <c r="B55" s="222"/>
      <c r="C55" s="94"/>
      <c r="D55" s="158"/>
      <c r="E55" s="96"/>
      <c r="F55" s="96"/>
      <c r="G55" s="96"/>
      <c r="H55" s="371"/>
    </row>
    <row r="56" spans="2:21" ht="14.25" customHeight="1" x14ac:dyDescent="0.25">
      <c r="B56" s="217" t="s">
        <v>280</v>
      </c>
      <c r="C56" s="139" t="s">
        <v>1163</v>
      </c>
      <c r="D56" s="132" t="str">
        <f>VLOOKUP("T.08.50",Translation,LanguageNo+1,FALSE)</f>
        <v>1.1.7 Übrige Kapitalanlagen</v>
      </c>
      <c r="E56" s="276">
        <f>E57+E65+E75+E79</f>
        <v>0</v>
      </c>
      <c r="F56" s="276">
        <f>F57+F65+F70+F75+F79</f>
        <v>0</v>
      </c>
      <c r="G56" s="97">
        <f t="shared" si="0"/>
        <v>0</v>
      </c>
      <c r="H56" s="369">
        <f>IF($G$169=0,0,G56/$G$169)</f>
        <v>0</v>
      </c>
    </row>
    <row r="57" spans="2:21" ht="14.25" customHeight="1" x14ac:dyDescent="0.25">
      <c r="B57" s="217" t="s">
        <v>281</v>
      </c>
      <c r="C57" s="139" t="s">
        <v>1164</v>
      </c>
      <c r="D57" s="140" t="str">
        <f>VLOOKUP("T.08.51",Translation,LanguageNo+1,FALSE)</f>
        <v>Kollektive Kapitalanlagen</v>
      </c>
      <c r="E57" s="99">
        <f>SUM(E58:E63)</f>
        <v>0</v>
      </c>
      <c r="F57" s="99">
        <f>SUM(F58:F63)</f>
        <v>0</v>
      </c>
      <c r="G57" s="100">
        <f t="shared" si="0"/>
        <v>0</v>
      </c>
      <c r="H57" s="370"/>
      <c r="T57" s="382"/>
      <c r="U57" s="89"/>
    </row>
    <row r="58" spans="2:21" ht="14.25" customHeight="1" x14ac:dyDescent="0.25">
      <c r="B58" s="217" t="s">
        <v>284</v>
      </c>
      <c r="C58" s="139" t="s">
        <v>1165</v>
      </c>
      <c r="D58" s="217" t="str">
        <f>VLOOKUP("T.08.52",Translation,LanguageNo+1,FALSE)</f>
        <v>Anlagefonds: Immobilien</v>
      </c>
      <c r="E58" s="85"/>
      <c r="F58" s="104"/>
      <c r="G58" s="100">
        <f t="shared" si="0"/>
        <v>0</v>
      </c>
      <c r="H58" s="370"/>
    </row>
    <row r="59" spans="2:21" ht="14.25" customHeight="1" x14ac:dyDescent="0.25">
      <c r="B59" s="217" t="s">
        <v>285</v>
      </c>
      <c r="C59" s="139" t="s">
        <v>1166</v>
      </c>
      <c r="D59" s="217" t="str">
        <f>VLOOKUP("T.08.53",Translation,LanguageNo+1,FALSE)</f>
        <v>Anlagefonds: Aktien</v>
      </c>
      <c r="E59" s="85"/>
      <c r="F59" s="104"/>
      <c r="G59" s="100">
        <f t="shared" si="0"/>
        <v>0</v>
      </c>
      <c r="H59" s="370"/>
    </row>
    <row r="60" spans="2:21" ht="14.25" customHeight="1" x14ac:dyDescent="0.25">
      <c r="B60" s="50" t="s">
        <v>288</v>
      </c>
      <c r="C60" s="139" t="s">
        <v>1167</v>
      </c>
      <c r="D60" s="217" t="str">
        <f>VLOOKUP("T.08.54",Translation,LanguageNo+1,FALSE)</f>
        <v>Anlagefonds: festverzinsliche Wertpapiere</v>
      </c>
      <c r="E60" s="85"/>
      <c r="F60" s="104"/>
      <c r="G60" s="100">
        <f t="shared" si="0"/>
        <v>0</v>
      </c>
      <c r="H60" s="370"/>
    </row>
    <row r="61" spans="2:21" ht="14.25" customHeight="1" x14ac:dyDescent="0.25">
      <c r="B61" s="217" t="s">
        <v>291</v>
      </c>
      <c r="C61" s="139" t="s">
        <v>1178</v>
      </c>
      <c r="D61" s="217" t="str">
        <f>VLOOKUP("T.08.55",Translation,LanguageNo+1,FALSE)</f>
        <v>Anlagefonds: Geldmarkt</v>
      </c>
      <c r="E61" s="85"/>
      <c r="F61" s="104"/>
      <c r="G61" s="100">
        <f t="shared" si="0"/>
        <v>0</v>
      </c>
      <c r="H61" s="370"/>
    </row>
    <row r="62" spans="2:21" ht="14.25" customHeight="1" x14ac:dyDescent="0.25">
      <c r="B62" s="145" t="s">
        <v>294</v>
      </c>
      <c r="C62" s="139" t="s">
        <v>1179</v>
      </c>
      <c r="D62" s="217" t="str">
        <f>VLOOKUP("T.08.56",Translation,LanguageNo+1,FALSE)</f>
        <v>Anlagefonds: Übrige</v>
      </c>
      <c r="E62" s="85"/>
      <c r="F62" s="104"/>
      <c r="G62" s="100">
        <f t="shared" si="0"/>
        <v>0</v>
      </c>
      <c r="H62" s="370"/>
    </row>
    <row r="63" spans="2:21" ht="14.25" customHeight="1" x14ac:dyDescent="0.25">
      <c r="B63" s="50" t="s">
        <v>297</v>
      </c>
      <c r="C63" s="139" t="s">
        <v>1180</v>
      </c>
      <c r="D63" s="217" t="str">
        <f>VLOOKUP("T.08.57",Translation,LanguageNo+1,FALSE)</f>
        <v>Anlagefonds: Gemischt</v>
      </c>
      <c r="E63" s="131"/>
      <c r="F63" s="275"/>
      <c r="G63" s="100">
        <f t="shared" si="0"/>
        <v>0</v>
      </c>
      <c r="H63" s="370"/>
    </row>
    <row r="64" spans="2:21" ht="14.25" customHeight="1" x14ac:dyDescent="0.25">
      <c r="B64" s="94"/>
      <c r="C64" s="94"/>
      <c r="D64" s="158"/>
      <c r="E64" s="96"/>
      <c r="F64" s="96"/>
      <c r="G64" s="96"/>
      <c r="H64" s="371"/>
    </row>
    <row r="65" spans="2:21" ht="14.25" customHeight="1" x14ac:dyDescent="0.25">
      <c r="B65" s="50" t="s">
        <v>300</v>
      </c>
      <c r="C65" s="139" t="s">
        <v>1183</v>
      </c>
      <c r="D65" s="122" t="str">
        <f>VLOOKUP("T.08.58",Translation,LanguageNo+1,FALSE)</f>
        <v>Alternative Kapitalanlagen</v>
      </c>
      <c r="E65" s="127">
        <f>SUM(E66:E67)+E70</f>
        <v>0</v>
      </c>
      <c r="F65" s="127">
        <f>SUM(F66:F67)+F70</f>
        <v>0</v>
      </c>
      <c r="G65" s="100">
        <f t="shared" si="0"/>
        <v>0</v>
      </c>
      <c r="H65" s="370"/>
      <c r="T65" s="382"/>
      <c r="U65" s="89"/>
    </row>
    <row r="66" spans="2:21" ht="14.25" customHeight="1" x14ac:dyDescent="0.25">
      <c r="B66" s="217" t="s">
        <v>303</v>
      </c>
      <c r="C66" s="139" t="s">
        <v>1184</v>
      </c>
      <c r="D66" s="217" t="str">
        <f>VLOOKUP("T.08.59",Translation,LanguageNo+1,FALSE)</f>
        <v>Hedgefonds</v>
      </c>
      <c r="E66" s="48"/>
      <c r="F66" s="104"/>
      <c r="G66" s="100">
        <f t="shared" si="0"/>
        <v>0</v>
      </c>
      <c r="H66" s="370"/>
    </row>
    <row r="67" spans="2:21" ht="14.25" customHeight="1" x14ac:dyDescent="0.25">
      <c r="B67" s="217" t="s">
        <v>306</v>
      </c>
      <c r="C67" s="139" t="s">
        <v>1185</v>
      </c>
      <c r="D67" s="145" t="str">
        <f>VLOOKUP("T.08.60",Translation,LanguageNo+1,FALSE)</f>
        <v>Private Equity</v>
      </c>
      <c r="E67" s="48"/>
      <c r="F67" s="104"/>
      <c r="G67" s="100">
        <f t="shared" si="0"/>
        <v>0</v>
      </c>
      <c r="H67" s="370"/>
    </row>
    <row r="68" spans="2:21" ht="14.25" customHeight="1" x14ac:dyDescent="0.25">
      <c r="B68" s="217" t="s">
        <v>307</v>
      </c>
      <c r="C68" s="50" t="s">
        <v>1290</v>
      </c>
      <c r="D68" s="133" t="str">
        <f>VLOOKUP("T.08.61",Translation,LanguageNo+1,FALSE)</f>
        <v>davon Partizipationen (Anteil &lt; 20%)</v>
      </c>
      <c r="E68" s="280"/>
      <c r="F68" s="281"/>
      <c r="G68" s="111">
        <f t="shared" si="0"/>
        <v>0</v>
      </c>
      <c r="H68" s="370"/>
    </row>
    <row r="69" spans="2:21" ht="14.25" customHeight="1" x14ac:dyDescent="0.25">
      <c r="B69" s="222"/>
      <c r="C69" s="94"/>
      <c r="D69" s="134"/>
      <c r="E69" s="129"/>
      <c r="F69" s="129"/>
      <c r="G69" s="96"/>
      <c r="H69" s="371"/>
    </row>
    <row r="70" spans="2:21" ht="14.25" customHeight="1" x14ac:dyDescent="0.25">
      <c r="B70" s="145" t="s">
        <v>308</v>
      </c>
      <c r="C70" s="139" t="s">
        <v>1289</v>
      </c>
      <c r="D70" s="50" t="str">
        <f>VLOOKUP("T.08.62",Translation,LanguageNo+1,FALSE)</f>
        <v>Andere Alternative Kapitalanlagen</v>
      </c>
      <c r="E70" s="49">
        <f>SUM(E71:E73)</f>
        <v>0</v>
      </c>
      <c r="F70" s="49">
        <f>SUM(F71:F73)</f>
        <v>0</v>
      </c>
      <c r="G70" s="100">
        <f t="shared" si="0"/>
        <v>0</v>
      </c>
      <c r="H70" s="370"/>
    </row>
    <row r="71" spans="2:21" ht="14.25" customHeight="1" x14ac:dyDescent="0.25">
      <c r="B71" s="145" t="s">
        <v>312</v>
      </c>
      <c r="C71" s="139" t="s">
        <v>1186</v>
      </c>
      <c r="D71" s="133" t="str">
        <f>VLOOKUP("T.08.63",Translation,LanguageNo+1,FALSE)</f>
        <v>Private Debt</v>
      </c>
      <c r="E71" s="375"/>
      <c r="F71" s="376"/>
      <c r="G71" s="111">
        <f t="shared" si="0"/>
        <v>0</v>
      </c>
      <c r="H71" s="370"/>
      <c r="T71" s="382"/>
      <c r="U71" s="90"/>
    </row>
    <row r="72" spans="2:21" ht="14.25" customHeight="1" x14ac:dyDescent="0.25">
      <c r="B72" s="50" t="s">
        <v>314</v>
      </c>
      <c r="C72" s="139" t="s">
        <v>1187</v>
      </c>
      <c r="D72" s="133" t="str">
        <f>VLOOKUP("T.08.64",Translation,LanguageNo+1,FALSE)</f>
        <v>Senior Secured Loans</v>
      </c>
      <c r="E72" s="138"/>
      <c r="F72" s="110"/>
      <c r="G72" s="111">
        <f t="shared" si="0"/>
        <v>0</v>
      </c>
      <c r="H72" s="370"/>
    </row>
    <row r="73" spans="2:21" ht="14.25" customHeight="1" x14ac:dyDescent="0.25">
      <c r="B73" s="50" t="s">
        <v>315</v>
      </c>
      <c r="C73" s="139" t="s">
        <v>1188</v>
      </c>
      <c r="D73" s="133" t="str">
        <f>VLOOKUP("T.08.65",Translation,LanguageNo+1,FALSE)</f>
        <v>Rohstoffe</v>
      </c>
      <c r="E73" s="280"/>
      <c r="F73" s="281"/>
      <c r="G73" s="111">
        <f t="shared" ref="G73:G140" si="1">E73+F73</f>
        <v>0</v>
      </c>
      <c r="H73" s="370"/>
    </row>
    <row r="74" spans="2:21" ht="14.25" customHeight="1" x14ac:dyDescent="0.25">
      <c r="B74" s="222"/>
      <c r="C74" s="94"/>
      <c r="D74" s="158"/>
      <c r="E74" s="96"/>
      <c r="F74" s="96"/>
      <c r="G74" s="96"/>
      <c r="H74" s="371"/>
    </row>
    <row r="75" spans="2:21" ht="14.25" customHeight="1" x14ac:dyDescent="0.25">
      <c r="B75" s="50" t="s">
        <v>316</v>
      </c>
      <c r="C75" s="139" t="s">
        <v>1189</v>
      </c>
      <c r="D75" s="122" t="str">
        <f>VLOOKUP("T.08.66",Translation,LanguageNo+1,FALSE)</f>
        <v>Strukturierte Produkte</v>
      </c>
      <c r="E75" s="271">
        <f>SUM(E76:E77)</f>
        <v>0</v>
      </c>
      <c r="F75" s="271">
        <f>SUM(F76:F77)</f>
        <v>0</v>
      </c>
      <c r="G75" s="100">
        <f t="shared" si="1"/>
        <v>0</v>
      </c>
      <c r="H75" s="370"/>
    </row>
    <row r="76" spans="2:21" ht="14.25" customHeight="1" x14ac:dyDescent="0.25">
      <c r="B76" s="50" t="s">
        <v>317</v>
      </c>
      <c r="C76" s="139" t="s">
        <v>1291</v>
      </c>
      <c r="D76" s="217" t="str">
        <f>VLOOKUP("T.08.67",Translation,LanguageNo+1,FALSE)</f>
        <v>Insurance-Linked Securities (z.B. Cat Bonds)</v>
      </c>
      <c r="E76" s="136"/>
      <c r="F76" s="137"/>
      <c r="G76" s="100">
        <f t="shared" si="1"/>
        <v>0</v>
      </c>
      <c r="H76" s="370"/>
    </row>
    <row r="77" spans="2:21" ht="14.25" customHeight="1" x14ac:dyDescent="0.25">
      <c r="B77" s="50" t="s">
        <v>320</v>
      </c>
      <c r="C77" s="50" t="s">
        <v>1292</v>
      </c>
      <c r="D77" s="217" t="str">
        <f>VLOOKUP("T.08.68",Translation,LanguageNo+1,FALSE)</f>
        <v>Andere strukturierte Produkte</v>
      </c>
      <c r="E77" s="131"/>
      <c r="F77" s="275"/>
      <c r="G77" s="100">
        <f t="shared" si="1"/>
        <v>0</v>
      </c>
      <c r="H77" s="370"/>
    </row>
    <row r="78" spans="2:21" ht="14.25" customHeight="1" x14ac:dyDescent="0.25">
      <c r="B78" s="94"/>
      <c r="C78" s="94"/>
      <c r="D78" s="222"/>
      <c r="E78" s="96"/>
      <c r="F78" s="96"/>
      <c r="G78" s="96"/>
      <c r="H78" s="371"/>
    </row>
    <row r="79" spans="2:21" ht="14.25" customHeight="1" x14ac:dyDescent="0.25">
      <c r="B79" s="50" t="s">
        <v>323</v>
      </c>
      <c r="C79" s="139" t="s">
        <v>1193</v>
      </c>
      <c r="D79" s="140" t="str">
        <f>VLOOKUP("T.08.69",Translation,LanguageNo+1,FALSE)</f>
        <v>Sonstige Kapitalanlagen</v>
      </c>
      <c r="E79" s="77">
        <f>E80+E85</f>
        <v>0</v>
      </c>
      <c r="F79" s="77">
        <f>F80+F85</f>
        <v>0</v>
      </c>
      <c r="G79" s="100">
        <f t="shared" si="1"/>
        <v>0</v>
      </c>
      <c r="H79" s="370"/>
    </row>
    <row r="80" spans="2:21" ht="14.25" customHeight="1" x14ac:dyDescent="0.25">
      <c r="B80" s="50" t="s">
        <v>324</v>
      </c>
      <c r="C80" s="139" t="s">
        <v>1194</v>
      </c>
      <c r="D80" s="217" t="str">
        <f>VLOOKUP("T.08.70",Translation,LanguageNo+1,FALSE)</f>
        <v>Verbriefte Forderungen</v>
      </c>
      <c r="E80" s="135">
        <f>SUM(E81:E84)</f>
        <v>0</v>
      </c>
      <c r="F80" s="135">
        <f>SUM(F81:F84)</f>
        <v>0</v>
      </c>
      <c r="G80" s="100">
        <f t="shared" si="1"/>
        <v>0</v>
      </c>
      <c r="H80" s="370"/>
    </row>
    <row r="81" spans="2:8" ht="14.25" customHeight="1" x14ac:dyDescent="0.25">
      <c r="B81" s="145" t="s">
        <v>326</v>
      </c>
      <c r="C81" s="139" t="s">
        <v>1195</v>
      </c>
      <c r="D81" s="108" t="str">
        <f>VLOOKUP("T.08.71",Translation,LanguageNo+1,FALSE)</f>
        <v>Asset Backed Securities (ABS)</v>
      </c>
      <c r="E81" s="109"/>
      <c r="F81" s="110"/>
      <c r="G81" s="111">
        <f t="shared" si="1"/>
        <v>0</v>
      </c>
      <c r="H81" s="370"/>
    </row>
    <row r="82" spans="2:8" ht="14.25" customHeight="1" x14ac:dyDescent="0.25">
      <c r="B82" s="50" t="s">
        <v>330</v>
      </c>
      <c r="C82" s="139" t="s">
        <v>1196</v>
      </c>
      <c r="D82" s="108" t="str">
        <f>VLOOKUP("T.08.72",Translation,LanguageNo+1,FALSE)</f>
        <v>Mortgage Backed Securities (MBS)</v>
      </c>
      <c r="E82" s="109"/>
      <c r="F82" s="110"/>
      <c r="G82" s="111">
        <f t="shared" si="1"/>
        <v>0</v>
      </c>
      <c r="H82" s="370"/>
    </row>
    <row r="83" spans="2:8" ht="14.25" customHeight="1" x14ac:dyDescent="0.25">
      <c r="B83" s="50" t="s">
        <v>331</v>
      </c>
      <c r="C83" s="139" t="s">
        <v>1197</v>
      </c>
      <c r="D83" s="108" t="str">
        <f>VLOOKUP("T.08.73",Translation,LanguageNo+1,FALSE)</f>
        <v>Collateralized Debt Obligations (CDO) und Collateralized Loan Obligations (CLO)</v>
      </c>
      <c r="E83" s="109"/>
      <c r="F83" s="110"/>
      <c r="G83" s="111">
        <f t="shared" si="1"/>
        <v>0</v>
      </c>
      <c r="H83" s="370"/>
    </row>
    <row r="84" spans="2:8" ht="14.25" customHeight="1" x14ac:dyDescent="0.25">
      <c r="B84" s="145" t="s">
        <v>332</v>
      </c>
      <c r="C84" s="139" t="s">
        <v>1198</v>
      </c>
      <c r="D84" s="108" t="str">
        <f>VLOOKUP("T.08.74",Translation,LanguageNo+1,FALSE)</f>
        <v>Sonstige verbriefte Forderungen</v>
      </c>
      <c r="E84" s="109"/>
      <c r="F84" s="110"/>
      <c r="G84" s="111">
        <f t="shared" si="1"/>
        <v>0</v>
      </c>
      <c r="H84" s="370"/>
    </row>
    <row r="85" spans="2:8" ht="14.25" customHeight="1" x14ac:dyDescent="0.25">
      <c r="B85" s="50" t="s">
        <v>333</v>
      </c>
      <c r="C85" s="139" t="s">
        <v>1199</v>
      </c>
      <c r="D85" s="50" t="str">
        <f>VLOOKUP("T.08.75",Translation,LanguageNo+1,FALSE)</f>
        <v>Andere Kapitalanlagen (Infrastrukturanlagen, Currency Overlay, u.a.)</v>
      </c>
      <c r="E85" s="131"/>
      <c r="F85" s="275"/>
      <c r="G85" s="100">
        <f t="shared" si="1"/>
        <v>0</v>
      </c>
      <c r="H85" s="370"/>
    </row>
    <row r="86" spans="2:8" ht="14.25" customHeight="1" x14ac:dyDescent="0.25">
      <c r="B86" s="222"/>
      <c r="C86" s="94"/>
      <c r="D86" s="158"/>
      <c r="E86" s="96"/>
      <c r="F86" s="96"/>
      <c r="G86" s="96"/>
      <c r="H86" s="371"/>
    </row>
    <row r="87" spans="2:8" ht="14.25" customHeight="1" x14ac:dyDescent="0.25">
      <c r="B87" s="50" t="s">
        <v>334</v>
      </c>
      <c r="C87" s="139" t="s">
        <v>1382</v>
      </c>
      <c r="D87" s="50" t="str">
        <f>VLOOKUP("T.08.76",Translation,LanguageNo+1,FALSE)</f>
        <v>Schwankungsreserven Kapitalanlagen (ohne anteilgebundene Lebensversicherung)</v>
      </c>
      <c r="E87" s="340"/>
      <c r="F87" s="340"/>
      <c r="G87" s="341">
        <f t="shared" si="1"/>
        <v>0</v>
      </c>
      <c r="H87" s="370"/>
    </row>
    <row r="88" spans="2:8" ht="14.25" customHeight="1" x14ac:dyDescent="0.25">
      <c r="B88" s="222"/>
      <c r="C88" s="94"/>
      <c r="D88" s="158"/>
      <c r="E88" s="96"/>
      <c r="F88" s="96"/>
      <c r="G88" s="96"/>
      <c r="H88" s="371"/>
    </row>
    <row r="89" spans="2:8" ht="14.25" customHeight="1" x14ac:dyDescent="0.25">
      <c r="B89" s="50" t="s">
        <v>337</v>
      </c>
      <c r="C89" s="75" t="s">
        <v>1144</v>
      </c>
      <c r="D89" s="351" t="str">
        <f>VLOOKUP("T.08.77",Translation,LanguageNo+1,FALSE)</f>
        <v>Total Kapitalanlagen</v>
      </c>
      <c r="E89" s="278">
        <f>E8+E19+E28+E38+E43+E51+E56+E87</f>
        <v>0</v>
      </c>
      <c r="F89" s="278">
        <f>F8+F19+F28+F38+F43+F51+F56+F87</f>
        <v>0</v>
      </c>
      <c r="G89" s="97">
        <f t="shared" ref="G89" si="2">E89+F89</f>
        <v>0</v>
      </c>
      <c r="H89" s="369">
        <f>IF($G$169=0,0,G89/$G$169)</f>
        <v>0</v>
      </c>
    </row>
    <row r="90" spans="2:8" ht="14.25" customHeight="1" x14ac:dyDescent="0.25">
      <c r="B90" s="222"/>
      <c r="C90" s="94"/>
      <c r="D90" s="158"/>
      <c r="E90" s="96"/>
      <c r="F90" s="96"/>
      <c r="G90" s="96"/>
      <c r="H90" s="371"/>
    </row>
    <row r="91" spans="2:8" ht="14.25" customHeight="1" x14ac:dyDescent="0.25">
      <c r="B91" s="50" t="s">
        <v>340</v>
      </c>
      <c r="C91" s="50"/>
      <c r="D91" s="142" t="str">
        <f>VLOOKUP("T.08.78",Translation,LanguageNo+1,FALSE)</f>
        <v>Übrige Aktiven</v>
      </c>
      <c r="E91" s="127"/>
      <c r="F91" s="127"/>
      <c r="G91" s="100"/>
      <c r="H91" s="370"/>
    </row>
    <row r="92" spans="2:8" ht="14.25" customHeight="1" x14ac:dyDescent="0.25">
      <c r="B92" s="222"/>
      <c r="C92" s="94"/>
      <c r="D92" s="158"/>
      <c r="E92" s="96"/>
      <c r="F92" s="96"/>
      <c r="G92" s="96"/>
      <c r="H92" s="371"/>
    </row>
    <row r="93" spans="2:8" ht="14.25" customHeight="1" x14ac:dyDescent="0.25">
      <c r="B93" s="50" t="s">
        <v>343</v>
      </c>
      <c r="C93" s="139" t="s">
        <v>1203</v>
      </c>
      <c r="D93" s="140" t="str">
        <f>VLOOKUP("T.08.79",Translation,LanguageNo+1,FALSE)</f>
        <v>1.2 Kapitalanlagen aus anteilgebundener Lebensversicherung</v>
      </c>
      <c r="E93" s="278">
        <f>E94+E96+E104</f>
        <v>0</v>
      </c>
      <c r="F93" s="278">
        <f>F94+F96+F104</f>
        <v>0</v>
      </c>
      <c r="G93" s="97">
        <f t="shared" si="1"/>
        <v>0</v>
      </c>
      <c r="H93" s="369">
        <f>IF($G$169=0,0,G93/$G$169)</f>
        <v>0</v>
      </c>
    </row>
    <row r="94" spans="2:8" ht="14.25" customHeight="1" x14ac:dyDescent="0.25">
      <c r="B94" s="50" t="s">
        <v>346</v>
      </c>
      <c r="C94" s="139" t="s">
        <v>1204</v>
      </c>
      <c r="D94" s="140" t="str">
        <f>VLOOKUP("T.08.80",Translation,LanguageNo+1,FALSE)</f>
        <v>Fondsanteilgebundene Lebensversicherung</v>
      </c>
      <c r="E94" s="131"/>
      <c r="F94" s="275"/>
      <c r="G94" s="100">
        <f t="shared" si="1"/>
        <v>0</v>
      </c>
      <c r="H94" s="370"/>
    </row>
    <row r="95" spans="2:8" ht="14.25" customHeight="1" x14ac:dyDescent="0.25">
      <c r="B95" s="94"/>
      <c r="C95" s="94"/>
      <c r="D95" s="134"/>
      <c r="E95" s="96"/>
      <c r="F95" s="96"/>
      <c r="G95" s="96"/>
      <c r="H95" s="371"/>
    </row>
    <row r="96" spans="2:8" ht="14.25" customHeight="1" x14ac:dyDescent="0.25">
      <c r="B96" s="50" t="s">
        <v>348</v>
      </c>
      <c r="C96" s="139" t="s">
        <v>1205</v>
      </c>
      <c r="D96" s="98" t="str">
        <f>VLOOKUP("T.08.81",Translation,LanguageNo+1,FALSE)</f>
        <v>An interne Anlagebestände oder andere Bezugswerte gebundene Lebensversicherung</v>
      </c>
      <c r="E96" s="127">
        <f>SUM(E97:E102)</f>
        <v>0</v>
      </c>
      <c r="F96" s="127">
        <f>SUM(F97:F102)</f>
        <v>0</v>
      </c>
      <c r="G96" s="100">
        <f t="shared" si="1"/>
        <v>0</v>
      </c>
      <c r="H96" s="370"/>
    </row>
    <row r="97" spans="2:8" ht="14.25" customHeight="1" x14ac:dyDescent="0.25">
      <c r="B97" s="50" t="s">
        <v>352</v>
      </c>
      <c r="C97" s="139" t="s">
        <v>1293</v>
      </c>
      <c r="D97" s="50" t="str">
        <f>VLOOKUP("T.08.82",Translation,LanguageNo+1,FALSE)</f>
        <v>Immobilien</v>
      </c>
      <c r="E97" s="85"/>
      <c r="F97" s="104"/>
      <c r="G97" s="100">
        <f t="shared" si="1"/>
        <v>0</v>
      </c>
      <c r="H97" s="370"/>
    </row>
    <row r="98" spans="2:8" ht="14.25" customHeight="1" x14ac:dyDescent="0.25">
      <c r="B98" s="50" t="s">
        <v>353</v>
      </c>
      <c r="C98" s="139" t="s">
        <v>1294</v>
      </c>
      <c r="D98" s="50" t="str">
        <f>VLOOKUP("T.08.83",Translation,LanguageNo+1,FALSE)</f>
        <v>Festverzinsliche Wertpapiere, Darlehen</v>
      </c>
      <c r="E98" s="85"/>
      <c r="F98" s="104"/>
      <c r="G98" s="100">
        <f t="shared" si="1"/>
        <v>0</v>
      </c>
      <c r="H98" s="370"/>
    </row>
    <row r="99" spans="2:8" ht="14.25" customHeight="1" x14ac:dyDescent="0.25">
      <c r="B99" s="50" t="s">
        <v>354</v>
      </c>
      <c r="C99" s="139" t="s">
        <v>1295</v>
      </c>
      <c r="D99" s="50" t="str">
        <f>VLOOKUP("T.08.84",Translation,LanguageNo+1,FALSE)</f>
        <v>Hypotheken</v>
      </c>
      <c r="E99" s="85"/>
      <c r="F99" s="104"/>
      <c r="G99" s="100">
        <f t="shared" si="1"/>
        <v>0</v>
      </c>
      <c r="H99" s="370"/>
    </row>
    <row r="100" spans="2:8" ht="14.25" customHeight="1" x14ac:dyDescent="0.25">
      <c r="B100" s="50" t="s">
        <v>355</v>
      </c>
      <c r="C100" s="139" t="s">
        <v>1296</v>
      </c>
      <c r="D100" s="50" t="str">
        <f>VLOOKUP("T.08.85",Translation,LanguageNo+1,FALSE)</f>
        <v>Aktien und ähnliche Wertschriften</v>
      </c>
      <c r="E100" s="85"/>
      <c r="F100" s="104"/>
      <c r="G100" s="100">
        <f t="shared" si="1"/>
        <v>0</v>
      </c>
      <c r="H100" s="370"/>
    </row>
    <row r="101" spans="2:8" ht="14.25" customHeight="1" x14ac:dyDescent="0.25">
      <c r="B101" s="50" t="s">
        <v>358</v>
      </c>
      <c r="C101" s="139" t="s">
        <v>1297</v>
      </c>
      <c r="D101" s="50" t="str">
        <f>VLOOKUP("T.08.86",Translation,LanguageNo+1,FALSE)</f>
        <v>Alternative Anlagen</v>
      </c>
      <c r="E101" s="85"/>
      <c r="F101" s="104"/>
      <c r="G101" s="100">
        <f t="shared" si="1"/>
        <v>0</v>
      </c>
      <c r="H101" s="370"/>
    </row>
    <row r="102" spans="2:8" ht="14.25" customHeight="1" x14ac:dyDescent="0.25">
      <c r="B102" s="141" t="s">
        <v>362</v>
      </c>
      <c r="C102" s="50" t="s">
        <v>181</v>
      </c>
      <c r="D102" s="50" t="str">
        <f>VLOOKUP("T.08.87",Translation,LanguageNo+1,FALSE)</f>
        <v>Übrige Anlagen</v>
      </c>
      <c r="E102" s="131"/>
      <c r="F102" s="275"/>
      <c r="G102" s="100">
        <f t="shared" si="1"/>
        <v>0</v>
      </c>
      <c r="H102" s="370"/>
    </row>
    <row r="103" spans="2:8" ht="14.25" customHeight="1" x14ac:dyDescent="0.25">
      <c r="B103" s="94"/>
      <c r="C103" s="94"/>
      <c r="D103" s="134"/>
      <c r="E103" s="96"/>
      <c r="F103" s="96"/>
      <c r="G103" s="96"/>
      <c r="H103" s="371"/>
    </row>
    <row r="104" spans="2:8" ht="14.25" customHeight="1" x14ac:dyDescent="0.25">
      <c r="B104" s="50" t="s">
        <v>366</v>
      </c>
      <c r="C104" s="50" t="s">
        <v>1387</v>
      </c>
      <c r="D104" s="50" t="str">
        <f>VLOOKUP("T.08.88",Translation,LanguageNo+1,FALSE)</f>
        <v>Schwankungsreserven Kapitalanlagen aus anteilgebundener Lebensversicherung</v>
      </c>
      <c r="E104" s="340"/>
      <c r="F104" s="340"/>
      <c r="G104" s="341">
        <f t="shared" si="1"/>
        <v>0</v>
      </c>
      <c r="H104" s="370"/>
    </row>
    <row r="105" spans="2:8" ht="14.25" customHeight="1" x14ac:dyDescent="0.25">
      <c r="B105" s="94"/>
      <c r="C105" s="94"/>
      <c r="D105" s="134"/>
      <c r="E105" s="96"/>
      <c r="F105" s="96"/>
      <c r="G105" s="96"/>
      <c r="H105" s="371"/>
    </row>
    <row r="106" spans="2:8" ht="14.25" customHeight="1" x14ac:dyDescent="0.25">
      <c r="B106" s="50" t="s">
        <v>370</v>
      </c>
      <c r="C106" s="139" t="s">
        <v>1206</v>
      </c>
      <c r="D106" s="98" t="str">
        <f>VLOOKUP("T.08.89",Translation,LanguageNo+1,FALSE)</f>
        <v>1.3 Forderungen aus derivativen Finanzinstrumenten</v>
      </c>
      <c r="E106" s="278">
        <f>SUM(E107:E112)</f>
        <v>0</v>
      </c>
      <c r="F106" s="278">
        <f>SUM(F107:F112)</f>
        <v>0</v>
      </c>
      <c r="G106" s="97">
        <f t="shared" si="1"/>
        <v>0</v>
      </c>
      <c r="H106" s="369">
        <f>IF($G$169=0,0,G106/$G$169)</f>
        <v>0</v>
      </c>
    </row>
    <row r="107" spans="2:8" ht="14.25" customHeight="1" x14ac:dyDescent="0.25">
      <c r="B107" s="141" t="s">
        <v>374</v>
      </c>
      <c r="C107" s="139" t="s">
        <v>1207</v>
      </c>
      <c r="D107" s="50" t="str">
        <f>VLOOKUP("T.08.90",Translation,LanguageNo+1,FALSE)</f>
        <v>Zinsrisikobezogene Instrumente</v>
      </c>
      <c r="E107" s="85"/>
      <c r="F107" s="104"/>
      <c r="G107" s="100">
        <f t="shared" si="1"/>
        <v>0</v>
      </c>
      <c r="H107" s="370"/>
    </row>
    <row r="108" spans="2:8" ht="14.25" customHeight="1" x14ac:dyDescent="0.25">
      <c r="B108" s="50" t="s">
        <v>378</v>
      </c>
      <c r="C108" s="139" t="s">
        <v>1208</v>
      </c>
      <c r="D108" s="50" t="str">
        <f>VLOOKUP("T.08.91",Translation,LanguageNo+1,FALSE)</f>
        <v>Währungsrisikobezogene Instrumente</v>
      </c>
      <c r="E108" s="85"/>
      <c r="F108" s="104"/>
      <c r="G108" s="100">
        <f t="shared" si="1"/>
        <v>0</v>
      </c>
      <c r="H108" s="370"/>
    </row>
    <row r="109" spans="2:8" ht="14.25" customHeight="1" x14ac:dyDescent="0.25">
      <c r="B109" s="141" t="s">
        <v>382</v>
      </c>
      <c r="C109" s="139" t="s">
        <v>1209</v>
      </c>
      <c r="D109" s="50" t="str">
        <f>VLOOKUP("T.08.92",Translation,LanguageNo+1,FALSE)</f>
        <v>(Aktien-)Marktrisikobezogene Instrumente</v>
      </c>
      <c r="E109" s="85"/>
      <c r="F109" s="104"/>
      <c r="G109" s="100">
        <f t="shared" si="1"/>
        <v>0</v>
      </c>
      <c r="H109" s="370"/>
    </row>
    <row r="110" spans="2:8" ht="14.25" customHeight="1" x14ac:dyDescent="0.25">
      <c r="B110" s="145" t="s">
        <v>383</v>
      </c>
      <c r="C110" s="139" t="s">
        <v>1210</v>
      </c>
      <c r="D110" s="50" t="str">
        <f>VLOOKUP("T.08.93",Translation,LanguageNo+1,FALSE)</f>
        <v>Kreditrisikobezogene Instrumente</v>
      </c>
      <c r="E110" s="85"/>
      <c r="F110" s="104"/>
      <c r="G110" s="100">
        <f t="shared" si="1"/>
        <v>0</v>
      </c>
      <c r="H110" s="370"/>
    </row>
    <row r="111" spans="2:8" ht="14.25" customHeight="1" x14ac:dyDescent="0.25">
      <c r="B111" s="50" t="s">
        <v>387</v>
      </c>
      <c r="C111" s="50" t="s">
        <v>1211</v>
      </c>
      <c r="D111" s="50" t="str">
        <f>VLOOKUP("T.08.94",Translation,LanguageNo+1,FALSE)</f>
        <v>Versicherungsrisikobezogene Instrumente (z.B. Cat Derivate)</v>
      </c>
      <c r="E111" s="85"/>
      <c r="F111" s="104"/>
      <c r="G111" s="100">
        <f t="shared" si="1"/>
        <v>0</v>
      </c>
      <c r="H111" s="370"/>
    </row>
    <row r="112" spans="2:8" ht="14.25" customHeight="1" x14ac:dyDescent="0.25">
      <c r="B112" s="50" t="s">
        <v>390</v>
      </c>
      <c r="C112" s="50" t="s">
        <v>1212</v>
      </c>
      <c r="D112" s="307" t="str">
        <f>VLOOKUP("T.08.95",Translation,LanguageNo+1,FALSE)</f>
        <v>Übrige derivative Instrumente</v>
      </c>
      <c r="E112" s="131"/>
      <c r="F112" s="275"/>
      <c r="G112" s="100">
        <f t="shared" si="1"/>
        <v>0</v>
      </c>
      <c r="H112" s="370"/>
    </row>
    <row r="113" spans="2:8" ht="14.25" customHeight="1" x14ac:dyDescent="0.25">
      <c r="B113" s="94"/>
      <c r="C113" s="94"/>
      <c r="D113" s="158"/>
      <c r="E113" s="96"/>
      <c r="F113" s="96"/>
      <c r="G113" s="96"/>
      <c r="H113" s="371"/>
    </row>
    <row r="114" spans="2:8" ht="14.25" customHeight="1" x14ac:dyDescent="0.25">
      <c r="B114" s="50" t="s">
        <v>394</v>
      </c>
      <c r="C114" s="139" t="s">
        <v>1213</v>
      </c>
      <c r="D114" s="140" t="str">
        <f>VLOOKUP("T.08.96",Translation,LanguageNo+1,FALSE)</f>
        <v>1.4 Depotforderungen aus übernommener Rückversicherung</v>
      </c>
      <c r="E114" s="282"/>
      <c r="F114" s="283"/>
      <c r="G114" s="97">
        <f t="shared" si="1"/>
        <v>0</v>
      </c>
      <c r="H114" s="369">
        <f>IF($G$169=0,0,G114/$G$169)</f>
        <v>0</v>
      </c>
    </row>
    <row r="115" spans="2:8" ht="14.25" customHeight="1" x14ac:dyDescent="0.25">
      <c r="B115" s="101"/>
      <c r="C115" s="101"/>
      <c r="D115" s="158"/>
      <c r="E115" s="96"/>
      <c r="F115" s="96"/>
      <c r="G115" s="96"/>
      <c r="H115" s="371"/>
    </row>
    <row r="116" spans="2:8" ht="14.25" customHeight="1" x14ac:dyDescent="0.25">
      <c r="B116" s="50" t="s">
        <v>398</v>
      </c>
      <c r="C116" s="139" t="s">
        <v>1214</v>
      </c>
      <c r="D116" s="140" t="str">
        <f>VLOOKUP("T.08.97",Translation,LanguageNo+1,FALSE)</f>
        <v>1.5 Flüssige Mittel</v>
      </c>
      <c r="E116" s="278">
        <f>SUM(E117:E119)</f>
        <v>0</v>
      </c>
      <c r="F116" s="278">
        <f>SUM(F117:F119)</f>
        <v>0</v>
      </c>
      <c r="G116" s="97">
        <f t="shared" si="1"/>
        <v>0</v>
      </c>
      <c r="H116" s="369">
        <f>IF($G$169=0,0,G116/$G$169)</f>
        <v>0</v>
      </c>
    </row>
    <row r="117" spans="2:8" ht="14.25" customHeight="1" x14ac:dyDescent="0.25">
      <c r="B117" s="50" t="s">
        <v>402</v>
      </c>
      <c r="C117" s="139" t="s">
        <v>1215</v>
      </c>
      <c r="D117" s="50" t="str">
        <f>VLOOKUP("T.08.98",Translation,LanguageNo+1,FALSE)</f>
        <v>Bargeld</v>
      </c>
      <c r="E117" s="85"/>
      <c r="F117" s="104"/>
      <c r="G117" s="100">
        <f t="shared" si="1"/>
        <v>0</v>
      </c>
      <c r="H117" s="370"/>
    </row>
    <row r="118" spans="2:8" ht="14.25" customHeight="1" x14ac:dyDescent="0.25">
      <c r="B118" s="50" t="s">
        <v>406</v>
      </c>
      <c r="C118" s="139" t="s">
        <v>1216</v>
      </c>
      <c r="D118" s="50" t="str">
        <f>VLOOKUP("T.08.99",Translation,LanguageNo+1,FALSE)</f>
        <v>Bankguthaben</v>
      </c>
      <c r="E118" s="85"/>
      <c r="F118" s="104"/>
      <c r="G118" s="100">
        <f t="shared" si="1"/>
        <v>0</v>
      </c>
      <c r="H118" s="370"/>
    </row>
    <row r="119" spans="2:8" ht="14.25" customHeight="1" x14ac:dyDescent="0.25">
      <c r="B119" s="50" t="s">
        <v>410</v>
      </c>
      <c r="C119" s="139" t="s">
        <v>1217</v>
      </c>
      <c r="D119" s="50" t="str">
        <f>VLOOKUP("T.08.100",Translation,LanguageNo+1,FALSE)</f>
        <v>Forderungen aus Geldmarktanlagen</v>
      </c>
      <c r="E119" s="131"/>
      <c r="F119" s="275"/>
      <c r="G119" s="100">
        <f t="shared" si="1"/>
        <v>0</v>
      </c>
      <c r="H119" s="370"/>
    </row>
    <row r="120" spans="2:8" ht="14.25" customHeight="1" x14ac:dyDescent="0.25">
      <c r="B120" s="94"/>
      <c r="C120" s="94"/>
      <c r="D120" s="158"/>
      <c r="E120" s="96"/>
      <c r="F120" s="96"/>
      <c r="G120" s="96"/>
      <c r="H120" s="371"/>
    </row>
    <row r="121" spans="2:8" ht="14.25" customHeight="1" x14ac:dyDescent="0.25">
      <c r="B121" s="50" t="s">
        <v>414</v>
      </c>
      <c r="C121" s="139" t="s">
        <v>1298</v>
      </c>
      <c r="D121" s="140" t="str">
        <f>VLOOKUP("T.08.101",Translation,LanguageNo+1,FALSE)</f>
        <v>1.6 Anteil versicherungstechnische Rückstellungen aus Rückversicherung</v>
      </c>
      <c r="E121" s="278">
        <f>E122+E124+E125+E127+SUM(E129:E134)</f>
        <v>0</v>
      </c>
      <c r="F121" s="278">
        <f>F122+F124+F125+F127+SUM(F129:F134)</f>
        <v>0</v>
      </c>
      <c r="G121" s="97">
        <f t="shared" si="1"/>
        <v>0</v>
      </c>
      <c r="H121" s="369">
        <f>IF($G$169=0,0,G121/$G$169)</f>
        <v>0</v>
      </c>
    </row>
    <row r="122" spans="2:8" s="415" customFormat="1" ht="14.25" customHeight="1" x14ac:dyDescent="0.25">
      <c r="B122" s="460" t="s">
        <v>415</v>
      </c>
      <c r="C122" s="462" t="s">
        <v>1242</v>
      </c>
      <c r="D122" s="460" t="str">
        <f>VLOOKUP("T.08.102",Translation,LanguageNo+1,FALSE)</f>
        <v>Direktversicherung: Lebensversicherungsgeschäft (ohne ALV)</v>
      </c>
      <c r="E122" s="464"/>
      <c r="F122" s="465"/>
      <c r="G122" s="522">
        <f t="shared" si="1"/>
        <v>0</v>
      </c>
      <c r="H122" s="523"/>
    </row>
    <row r="123" spans="2:8" s="459" customFormat="1" ht="14.25" customHeight="1" x14ac:dyDescent="0.25">
      <c r="B123" s="456" t="s">
        <v>419</v>
      </c>
      <c r="C123" s="538" t="s">
        <v>1299</v>
      </c>
      <c r="D123" s="485" t="str">
        <f>VLOOKUP("T.08.103",Translation,LanguageNo+1,FALSE)</f>
        <v>davon Anteil Rückversicherer (Leben) am Überschussfonds</v>
      </c>
      <c r="E123" s="544"/>
      <c r="F123" s="545"/>
      <c r="G123" s="546">
        <f t="shared" si="1"/>
        <v>0</v>
      </c>
      <c r="H123" s="543"/>
    </row>
    <row r="124" spans="2:8" s="415" customFormat="1" ht="14.25" customHeight="1" x14ac:dyDescent="0.25">
      <c r="B124" s="460" t="s">
        <v>420</v>
      </c>
      <c r="C124" s="462" t="s">
        <v>1243</v>
      </c>
      <c r="D124" s="460" t="str">
        <f>VLOOKUP("T.08.104",Translation,LanguageNo+1,FALSE)</f>
        <v>Aktive Rückversicherung: Lebensversicherungsgeschäft (ohne ALV)</v>
      </c>
      <c r="E124" s="464"/>
      <c r="F124" s="465"/>
      <c r="G124" s="522">
        <f>E124+F124</f>
        <v>0</v>
      </c>
      <c r="H124" s="523"/>
    </row>
    <row r="125" spans="2:8" s="424" customFormat="1" ht="14.25" customHeight="1" x14ac:dyDescent="0.25">
      <c r="B125" s="417" t="s">
        <v>424</v>
      </c>
      <c r="C125" s="440" t="s">
        <v>1244</v>
      </c>
      <c r="D125" s="417" t="str">
        <f>VLOOKUP("T.08.105",Translation,LanguageNo+1,FALSE)</f>
        <v>Direktversicherung: Schadenversicherungsgeschäft</v>
      </c>
      <c r="E125" s="434"/>
      <c r="F125" s="435"/>
      <c r="G125" s="422">
        <f t="shared" si="1"/>
        <v>0</v>
      </c>
      <c r="H125" s="505"/>
    </row>
    <row r="126" spans="2:8" s="424" customFormat="1" ht="14.25" customHeight="1" x14ac:dyDescent="0.25">
      <c r="B126" s="417" t="s">
        <v>425</v>
      </c>
      <c r="C126" s="417"/>
      <c r="D126" s="455" t="str">
        <f>VLOOKUP("T.08.106",Translation,LanguageNo+1,FALSE)</f>
        <v>davon Anteil Rückversicherer (Schaden) am Überschussfonds</v>
      </c>
      <c r="E126" s="506"/>
      <c r="F126" s="507"/>
      <c r="G126" s="508">
        <f t="shared" si="1"/>
        <v>0</v>
      </c>
      <c r="H126" s="505"/>
    </row>
    <row r="127" spans="2:8" s="424" customFormat="1" ht="14.25" customHeight="1" x14ac:dyDescent="0.25">
      <c r="B127" s="417" t="s">
        <v>429</v>
      </c>
      <c r="C127" s="440" t="s">
        <v>1245</v>
      </c>
      <c r="D127" s="417" t="str">
        <f>VLOOKUP("T.08.107",Translation,LanguageNo+1,FALSE)</f>
        <v>Direktversicherung: Krankenversicherungsgeschäft</v>
      </c>
      <c r="E127" s="434"/>
      <c r="F127" s="435"/>
      <c r="G127" s="422">
        <f t="shared" si="1"/>
        <v>0</v>
      </c>
      <c r="H127" s="505"/>
    </row>
    <row r="128" spans="2:8" s="424" customFormat="1" ht="14.25" customHeight="1" x14ac:dyDescent="0.25">
      <c r="B128" s="439" t="s">
        <v>430</v>
      </c>
      <c r="C128" s="417"/>
      <c r="D128" s="455" t="str">
        <f>VLOOKUP("T.08.108",Translation,LanguageNo+1,FALSE)</f>
        <v>davon Anteil Rückversicherer (Kranken) am Überschussfonds</v>
      </c>
      <c r="E128" s="506"/>
      <c r="F128" s="507"/>
      <c r="G128" s="508">
        <f t="shared" si="1"/>
        <v>0</v>
      </c>
      <c r="H128" s="505"/>
    </row>
    <row r="129" spans="2:8" s="424" customFormat="1" ht="14.25" customHeight="1" x14ac:dyDescent="0.25">
      <c r="B129" s="417" t="s">
        <v>431</v>
      </c>
      <c r="C129" s="440" t="s">
        <v>1246</v>
      </c>
      <c r="D129" s="417" t="str">
        <f>VLOOKUP("T.08.109",Translation,LanguageNo+1,FALSE)</f>
        <v>Aktive Rückversicherung: Schadenversicherungsgeschäft</v>
      </c>
      <c r="E129" s="434"/>
      <c r="F129" s="435"/>
      <c r="G129" s="422">
        <f t="shared" si="1"/>
        <v>0</v>
      </c>
      <c r="H129" s="505"/>
    </row>
    <row r="130" spans="2:8" s="424" customFormat="1" ht="14.25" customHeight="1" x14ac:dyDescent="0.25">
      <c r="B130" s="417" t="s">
        <v>432</v>
      </c>
      <c r="C130" s="440" t="s">
        <v>1247</v>
      </c>
      <c r="D130" s="417" t="str">
        <f>VLOOKUP("T.08.110",Translation,LanguageNo+1,FALSE)</f>
        <v>Aktive Rückversicherung: Krankenversicherungsgeschäft</v>
      </c>
      <c r="E130" s="434"/>
      <c r="F130" s="435"/>
      <c r="G130" s="422">
        <f t="shared" si="1"/>
        <v>0</v>
      </c>
      <c r="H130" s="505"/>
    </row>
    <row r="131" spans="2:8" s="424" customFormat="1" ht="14.25" customHeight="1" x14ac:dyDescent="0.25">
      <c r="B131" s="417" t="s">
        <v>433</v>
      </c>
      <c r="C131" s="417"/>
      <c r="D131" s="417" t="str">
        <f>VLOOKUP("T.08.111",Translation,LanguageNo+1,FALSE)</f>
        <v>Direktversicherung: Sonstiges Geschäft</v>
      </c>
      <c r="E131" s="434"/>
      <c r="F131" s="435"/>
      <c r="G131" s="422">
        <f>E131+F131</f>
        <v>0</v>
      </c>
      <c r="H131" s="505"/>
    </row>
    <row r="132" spans="2:8" s="424" customFormat="1" ht="14.25" customHeight="1" x14ac:dyDescent="0.25">
      <c r="B132" s="417" t="s">
        <v>434</v>
      </c>
      <c r="C132" s="417"/>
      <c r="D132" s="417" t="str">
        <f>VLOOKUP("T.08.112",Translation,LanguageNo+1,FALSE)</f>
        <v>Aktive Rückversicherung: Sonstiges Geschäft</v>
      </c>
      <c r="E132" s="453"/>
      <c r="F132" s="445"/>
      <c r="G132" s="422">
        <f>E132+F132</f>
        <v>0</v>
      </c>
      <c r="H132" s="505"/>
    </row>
    <row r="133" spans="2:8" s="424" customFormat="1" ht="14.25" customHeight="1" x14ac:dyDescent="0.25">
      <c r="B133" s="417" t="s">
        <v>435</v>
      </c>
      <c r="C133" s="440" t="s">
        <v>1248</v>
      </c>
      <c r="D133" s="417" t="str">
        <f>VLOOKUP("T.08.113",Translation,LanguageNo+1,FALSE)</f>
        <v>Direktversicherung: Anteilgebundenes Lebensversicherungsgeschäft</v>
      </c>
      <c r="E133" s="434"/>
      <c r="F133" s="435"/>
      <c r="G133" s="422">
        <f>E133+F133</f>
        <v>0</v>
      </c>
      <c r="H133" s="505"/>
    </row>
    <row r="134" spans="2:8" s="424" customFormat="1" ht="14.25" customHeight="1" x14ac:dyDescent="0.25">
      <c r="B134" s="417" t="s">
        <v>436</v>
      </c>
      <c r="C134" s="440" t="s">
        <v>1249</v>
      </c>
      <c r="D134" s="417" t="str">
        <f>VLOOKUP("T.08.114",Translation,LanguageNo+1,FALSE)</f>
        <v>Aktive Rückversicherung: Anteilgebundenes Lebensversicherungsgeschäft</v>
      </c>
      <c r="E134" s="434"/>
      <c r="F134" s="435"/>
      <c r="G134" s="422">
        <f t="shared" si="1"/>
        <v>0</v>
      </c>
      <c r="H134" s="505"/>
    </row>
    <row r="135" spans="2:8" ht="14.25" customHeight="1" x14ac:dyDescent="0.25">
      <c r="B135" s="94"/>
      <c r="C135" s="94"/>
      <c r="D135" s="158"/>
      <c r="E135" s="96"/>
      <c r="F135" s="96"/>
      <c r="G135" s="96"/>
      <c r="H135" s="371"/>
    </row>
    <row r="136" spans="2:8" ht="14.25" customHeight="1" x14ac:dyDescent="0.25">
      <c r="B136" s="50" t="s">
        <v>439</v>
      </c>
      <c r="C136" s="139" t="s">
        <v>1250</v>
      </c>
      <c r="D136" s="140" t="str">
        <f>VLOOKUP("T.08.115",Translation,LanguageNo+1,FALSE)</f>
        <v>1.7 Sachanlagen</v>
      </c>
      <c r="E136" s="278">
        <f>SUM(E137:E138)</f>
        <v>0</v>
      </c>
      <c r="F136" s="278">
        <f>SUM(F137:F138)</f>
        <v>0</v>
      </c>
      <c r="G136" s="97">
        <f t="shared" si="1"/>
        <v>0</v>
      </c>
      <c r="H136" s="369">
        <f>IF($G$169=0,0,G136/$G$169)</f>
        <v>0</v>
      </c>
    </row>
    <row r="137" spans="2:8" ht="14.25" customHeight="1" x14ac:dyDescent="0.25">
      <c r="B137" s="50" t="s">
        <v>443</v>
      </c>
      <c r="C137" s="139" t="s">
        <v>1300</v>
      </c>
      <c r="D137" s="50" t="str">
        <f>VLOOKUP("T.08.116",Translation,LanguageNo+1,FALSE)</f>
        <v>Betriebsliegenschaften</v>
      </c>
      <c r="E137" s="85"/>
      <c r="F137" s="104"/>
      <c r="G137" s="100">
        <f t="shared" si="1"/>
        <v>0</v>
      </c>
      <c r="H137" s="370"/>
    </row>
    <row r="138" spans="2:8" ht="14.25" customHeight="1" x14ac:dyDescent="0.25">
      <c r="B138" s="50" t="s">
        <v>446</v>
      </c>
      <c r="C138" s="50" t="s">
        <v>181</v>
      </c>
      <c r="D138" s="50" t="str">
        <f>VLOOKUP("T.08.117",Translation,LanguageNo+1,FALSE)</f>
        <v>Sonstige Sachanlagen</v>
      </c>
      <c r="E138" s="131"/>
      <c r="F138" s="275"/>
      <c r="G138" s="100">
        <f t="shared" si="1"/>
        <v>0</v>
      </c>
      <c r="H138" s="370"/>
    </row>
    <row r="139" spans="2:8" ht="14.25" customHeight="1" x14ac:dyDescent="0.25">
      <c r="B139" s="94"/>
      <c r="C139" s="94"/>
      <c r="D139" s="158"/>
      <c r="E139" s="96"/>
      <c r="F139" s="96"/>
      <c r="G139" s="96"/>
      <c r="H139" s="371"/>
    </row>
    <row r="140" spans="2:8" ht="14.25" customHeight="1" x14ac:dyDescent="0.25">
      <c r="B140" s="50" t="s">
        <v>450</v>
      </c>
      <c r="C140" s="139" t="s">
        <v>1251</v>
      </c>
      <c r="D140" s="140" t="str">
        <f>VLOOKUP("T.08.118",Translation,LanguageNo+1,FALSE)</f>
        <v>1.8 Aktivierte Abschlusskosten</v>
      </c>
      <c r="E140" s="342"/>
      <c r="F140" s="343"/>
      <c r="G140" s="344">
        <f t="shared" si="1"/>
        <v>0</v>
      </c>
      <c r="H140" s="370">
        <f>IF($G$169=0,0,G140/$G$169)</f>
        <v>0</v>
      </c>
    </row>
    <row r="141" spans="2:8" ht="14.25" customHeight="1" x14ac:dyDescent="0.25">
      <c r="B141" s="94"/>
      <c r="C141" s="94"/>
      <c r="D141" s="158"/>
      <c r="E141" s="96"/>
      <c r="F141" s="96"/>
      <c r="G141" s="96"/>
      <c r="H141" s="371"/>
    </row>
    <row r="142" spans="2:8" ht="14.25" customHeight="1" x14ac:dyDescent="0.25">
      <c r="B142" s="50" t="s">
        <v>453</v>
      </c>
      <c r="C142" s="139" t="s">
        <v>1252</v>
      </c>
      <c r="D142" s="98" t="str">
        <f>VLOOKUP("T.08.119",Translation,LanguageNo+1,FALSE)</f>
        <v>1.9 Immaterielle Vermögenswerte</v>
      </c>
      <c r="E142" s="284"/>
      <c r="F142" s="285"/>
      <c r="G142" s="97">
        <f t="shared" ref="G142:G205" si="3">E142+F142</f>
        <v>0</v>
      </c>
      <c r="H142" s="369"/>
    </row>
    <row r="143" spans="2:8" ht="14.25" customHeight="1" x14ac:dyDescent="0.25">
      <c r="B143" s="94"/>
      <c r="C143" s="94"/>
      <c r="D143" s="222"/>
      <c r="E143" s="96"/>
      <c r="F143" s="96"/>
      <c r="G143" s="96"/>
      <c r="H143" s="371"/>
    </row>
    <row r="144" spans="2:8" ht="14.25" customHeight="1" x14ac:dyDescent="0.25">
      <c r="B144" s="50" t="s">
        <v>456</v>
      </c>
      <c r="C144" s="139" t="s">
        <v>1253</v>
      </c>
      <c r="D144" s="122" t="str">
        <f>VLOOKUP("T.08.120",Translation,LanguageNo+1,FALSE)</f>
        <v>1.10 Forderungen aus dem Versicherungsgeschäft</v>
      </c>
      <c r="E144" s="278">
        <f>E145+E146+E150</f>
        <v>0</v>
      </c>
      <c r="F144" s="278">
        <f>F145+F146+F150</f>
        <v>0</v>
      </c>
      <c r="G144" s="97">
        <f t="shared" si="3"/>
        <v>0</v>
      </c>
      <c r="H144" s="369">
        <f>IF($G$169=0,0,G144/$G$169)</f>
        <v>0</v>
      </c>
    </row>
    <row r="145" spans="2:8" ht="14.25" customHeight="1" x14ac:dyDescent="0.25">
      <c r="B145" s="50" t="s">
        <v>459</v>
      </c>
      <c r="C145" s="139" t="s">
        <v>1301</v>
      </c>
      <c r="D145" s="50" t="str">
        <f>VLOOKUP("T.08.121",Translation,LanguageNo+1,FALSE)</f>
        <v>Forderungen gegenüber Versicherungsnehmern und Agenten</v>
      </c>
      <c r="E145" s="146"/>
      <c r="F145" s="147"/>
      <c r="G145" s="100">
        <f t="shared" si="3"/>
        <v>0</v>
      </c>
      <c r="H145" s="370"/>
    </row>
    <row r="146" spans="2:8" ht="14.25" customHeight="1" x14ac:dyDescent="0.25">
      <c r="B146" s="50" t="s">
        <v>460</v>
      </c>
      <c r="C146" s="139" t="s">
        <v>1302</v>
      </c>
      <c r="D146" s="50" t="str">
        <f>VLOOKUP("T.08.122",Translation,LanguageNo+1,FALSE)</f>
        <v>Forderungen gegenüber Versicherungs- und Rückversicherungsgesellschaften</v>
      </c>
      <c r="E146" s="49">
        <f>SUM(E147:E149)</f>
        <v>0</v>
      </c>
      <c r="F146" s="49">
        <f>SUM(F147:F149)</f>
        <v>0</v>
      </c>
      <c r="G146" s="100">
        <f t="shared" si="3"/>
        <v>0</v>
      </c>
      <c r="H146" s="370"/>
    </row>
    <row r="147" spans="2:8" ht="14.25" customHeight="1" x14ac:dyDescent="0.25">
      <c r="B147" s="50" t="s">
        <v>461</v>
      </c>
      <c r="C147" s="139" t="s">
        <v>1307</v>
      </c>
      <c r="D147" s="126" t="str">
        <f>VLOOKUP("T.08.123",Translation,LanguageNo+1,FALSE)</f>
        <v>Forderungen gegenüber Versicherungsgesellschaften: abgegebene</v>
      </c>
      <c r="E147" s="109"/>
      <c r="F147" s="110"/>
      <c r="G147" s="111">
        <f t="shared" si="3"/>
        <v>0</v>
      </c>
      <c r="H147" s="370"/>
    </row>
    <row r="148" spans="2:8" ht="14.25" customHeight="1" x14ac:dyDescent="0.25">
      <c r="B148" s="145" t="s">
        <v>462</v>
      </c>
      <c r="C148" s="139" t="s">
        <v>1308</v>
      </c>
      <c r="D148" s="133" t="str">
        <f>VLOOKUP("T.08.124",Translation,LanguageNo+1,FALSE)</f>
        <v>Forderungen gegenüber Versicherungsgesellschaften: übernommene</v>
      </c>
      <c r="E148" s="109"/>
      <c r="F148" s="110"/>
      <c r="G148" s="111">
        <f t="shared" si="3"/>
        <v>0</v>
      </c>
      <c r="H148" s="370"/>
    </row>
    <row r="149" spans="2:8" ht="14.25" customHeight="1" x14ac:dyDescent="0.25">
      <c r="B149" s="145" t="s">
        <v>463</v>
      </c>
      <c r="C149" s="139" t="s">
        <v>1309</v>
      </c>
      <c r="D149" s="133" t="str">
        <f>VLOOKUP("T.08.125",Translation,LanguageNo+1,FALSE)</f>
        <v>Forderungen gegenüber Versicherungsgesellschaften: übrige</v>
      </c>
      <c r="E149" s="109"/>
      <c r="F149" s="110"/>
      <c r="G149" s="111">
        <f t="shared" si="3"/>
        <v>0</v>
      </c>
      <c r="H149" s="370"/>
    </row>
    <row r="150" spans="2:8" ht="14.25" customHeight="1" x14ac:dyDescent="0.25">
      <c r="B150" s="50" t="s">
        <v>467</v>
      </c>
      <c r="C150" s="50" t="s">
        <v>1435</v>
      </c>
      <c r="D150" s="50" t="str">
        <f>VLOOKUP("T.08.126",Translation,LanguageNo+1,FALSE)</f>
        <v>Sonstige Depotforderungen und sonstige Forderungen aus dem Versicherungsgeschäft</v>
      </c>
      <c r="E150" s="85"/>
      <c r="F150" s="104"/>
      <c r="G150" s="100">
        <f t="shared" si="3"/>
        <v>0</v>
      </c>
      <c r="H150" s="370"/>
    </row>
    <row r="151" spans="2:8" ht="14.25" customHeight="1" x14ac:dyDescent="0.25">
      <c r="B151" s="145" t="s">
        <v>471</v>
      </c>
      <c r="C151" s="50"/>
      <c r="D151" s="133" t="str">
        <f>VLOOKUP("T.08.127",Translation,LanguageNo+1,FALSE)</f>
        <v>davon Forderungen gegenüber Beteiligungen</v>
      </c>
      <c r="E151" s="280"/>
      <c r="F151" s="281"/>
      <c r="G151" s="111">
        <f t="shared" si="3"/>
        <v>0</v>
      </c>
      <c r="H151" s="370"/>
    </row>
    <row r="152" spans="2:8" ht="14.25" customHeight="1" x14ac:dyDescent="0.25">
      <c r="B152" s="94"/>
      <c r="C152" s="94"/>
      <c r="D152" s="94"/>
      <c r="E152" s="96"/>
      <c r="F152" s="96"/>
      <c r="G152" s="96"/>
      <c r="H152" s="371"/>
    </row>
    <row r="153" spans="2:8" ht="14.25" customHeight="1" x14ac:dyDescent="0.25">
      <c r="B153" s="50" t="s">
        <v>475</v>
      </c>
      <c r="C153" s="139" t="s">
        <v>1258</v>
      </c>
      <c r="D153" s="98" t="str">
        <f>VLOOKUP("T.08.128",Translation,LanguageNo+1,FALSE)</f>
        <v>1.11 Übrige Forderungen</v>
      </c>
      <c r="E153" s="282"/>
      <c r="F153" s="283"/>
      <c r="G153" s="97">
        <f t="shared" si="3"/>
        <v>0</v>
      </c>
      <c r="H153" s="369">
        <f>IF($G$169=0,0,G153/$G$169)</f>
        <v>0</v>
      </c>
    </row>
    <row r="154" spans="2:8" ht="14.25" customHeight="1" x14ac:dyDescent="0.25">
      <c r="B154" s="94"/>
      <c r="C154" s="94"/>
      <c r="D154" s="94"/>
      <c r="E154" s="96"/>
      <c r="F154" s="96"/>
      <c r="G154" s="96"/>
      <c r="H154" s="371"/>
    </row>
    <row r="155" spans="2:8" ht="14.25" customHeight="1" x14ac:dyDescent="0.25">
      <c r="B155" s="50" t="s">
        <v>479</v>
      </c>
      <c r="C155" s="139" t="s">
        <v>1259</v>
      </c>
      <c r="D155" s="140" t="str">
        <f>VLOOKUP("T.08.129",Translation,LanguageNo+1,FALSE)</f>
        <v>1.12 Sonstige Aktiven</v>
      </c>
      <c r="E155" s="278">
        <f>SUM(E156:E157)</f>
        <v>0</v>
      </c>
      <c r="F155" s="278">
        <f>SUM(F156:F157)</f>
        <v>0</v>
      </c>
      <c r="G155" s="97">
        <f t="shared" si="3"/>
        <v>0</v>
      </c>
      <c r="H155" s="369">
        <f>IF($G$169=0,0,G155/$G$169)</f>
        <v>0</v>
      </c>
    </row>
    <row r="156" spans="2:8" ht="14.25" customHeight="1" x14ac:dyDescent="0.25">
      <c r="B156" s="50" t="s">
        <v>481</v>
      </c>
      <c r="C156" s="50"/>
      <c r="D156" s="50" t="str">
        <f>VLOOKUP("T.08.130",Translation,LanguageNo+1,FALSE)</f>
        <v>Erhaltene Garantien</v>
      </c>
      <c r="E156" s="85"/>
      <c r="F156" s="104"/>
      <c r="G156" s="100">
        <f t="shared" si="3"/>
        <v>0</v>
      </c>
      <c r="H156" s="370"/>
    </row>
    <row r="157" spans="2:8" ht="14.25" customHeight="1" x14ac:dyDescent="0.25">
      <c r="B157" s="50" t="s">
        <v>485</v>
      </c>
      <c r="C157" s="125"/>
      <c r="D157" s="50" t="str">
        <f>VLOOKUP("T.08.131",Translation,LanguageNo+1,FALSE)</f>
        <v>Sonstige Vermögenswerte</v>
      </c>
      <c r="E157" s="146"/>
      <c r="F157" s="147"/>
      <c r="G157" s="100">
        <f t="shared" si="3"/>
        <v>0</v>
      </c>
      <c r="H157" s="370"/>
    </row>
    <row r="158" spans="2:8" ht="14.25" customHeight="1" x14ac:dyDescent="0.25">
      <c r="B158" s="94"/>
      <c r="C158" s="94"/>
      <c r="D158" s="94"/>
      <c r="E158" s="96"/>
      <c r="F158" s="96"/>
      <c r="G158" s="96"/>
      <c r="H158" s="371"/>
    </row>
    <row r="159" spans="2:8" ht="14.25" customHeight="1" x14ac:dyDescent="0.25">
      <c r="B159" s="50" t="s">
        <v>488</v>
      </c>
      <c r="C159" s="139" t="s">
        <v>1260</v>
      </c>
      <c r="D159" s="98" t="str">
        <f>VLOOKUP("T.08.132",Translation,LanguageNo+1,FALSE)</f>
        <v>1.13 Nicht einbezahltes Grundkapital</v>
      </c>
      <c r="E159" s="282"/>
      <c r="F159" s="283"/>
      <c r="G159" s="97">
        <f t="shared" si="3"/>
        <v>0</v>
      </c>
      <c r="H159" s="369">
        <f>IF($G$169=0,0,G159/$G$169)</f>
        <v>0</v>
      </c>
    </row>
    <row r="160" spans="2:8" ht="14.25" customHeight="1" x14ac:dyDescent="0.25">
      <c r="B160" s="94"/>
      <c r="C160" s="94"/>
      <c r="D160" s="94"/>
      <c r="E160" s="96"/>
      <c r="F160" s="96"/>
      <c r="G160" s="96"/>
      <c r="H160" s="371"/>
    </row>
    <row r="161" spans="2:23" ht="14.25" customHeight="1" x14ac:dyDescent="0.25">
      <c r="B161" s="50" t="s">
        <v>492</v>
      </c>
      <c r="C161" s="139" t="s">
        <v>1261</v>
      </c>
      <c r="D161" s="98" t="str">
        <f>VLOOKUP("T.08.133",Translation,LanguageNo+1,FALSE)</f>
        <v>1.14 Aktive Rechnungsabgrenzungen</v>
      </c>
      <c r="E161" s="278">
        <f>SUM(E162:E165)</f>
        <v>0</v>
      </c>
      <c r="F161" s="278">
        <f>SUM(F162:F165)</f>
        <v>0</v>
      </c>
      <c r="G161" s="97">
        <f t="shared" si="3"/>
        <v>0</v>
      </c>
      <c r="H161" s="369">
        <f>IF($G$169=0,0,G161/$G$169)</f>
        <v>0</v>
      </c>
    </row>
    <row r="162" spans="2:23" ht="14.25" customHeight="1" x14ac:dyDescent="0.25">
      <c r="B162" s="50" t="s">
        <v>496</v>
      </c>
      <c r="C162" s="139" t="s">
        <v>1310</v>
      </c>
      <c r="D162" s="155" t="str">
        <f>VLOOKUP("T.08.134",Translation,LanguageNo+1,FALSE)</f>
        <v>Vorausbezahlte Versicherungsleistungen</v>
      </c>
      <c r="E162" s="85"/>
      <c r="F162" s="104"/>
      <c r="G162" s="100">
        <f t="shared" si="3"/>
        <v>0</v>
      </c>
      <c r="H162" s="370"/>
    </row>
    <row r="163" spans="2:23" ht="14.25" customHeight="1" x14ac:dyDescent="0.25">
      <c r="B163" s="50" t="s">
        <v>500</v>
      </c>
      <c r="C163" s="139" t="s">
        <v>1311</v>
      </c>
      <c r="D163" s="50" t="str">
        <f>VLOOKUP("T.08.135",Translation,LanguageNo+1,FALSE)</f>
        <v>Abgegrenzte Zinsen und Mieten</v>
      </c>
      <c r="E163" s="85"/>
      <c r="F163" s="104"/>
      <c r="G163" s="100">
        <f t="shared" si="3"/>
        <v>0</v>
      </c>
      <c r="H163" s="370"/>
    </row>
    <row r="164" spans="2:23" ht="14.25" customHeight="1" x14ac:dyDescent="0.25">
      <c r="B164" s="50" t="s">
        <v>504</v>
      </c>
      <c r="C164" s="139" t="s">
        <v>1312</v>
      </c>
      <c r="D164" s="50" t="str">
        <f>VLOOKUP("T.08.136",Translation,LanguageNo+1,FALSE)</f>
        <v>Latente Steuerforderungen</v>
      </c>
      <c r="E164" s="345"/>
      <c r="F164" s="346"/>
      <c r="G164" s="344">
        <f t="shared" si="3"/>
        <v>0</v>
      </c>
      <c r="H164" s="370"/>
    </row>
    <row r="165" spans="2:23" ht="14.25" customHeight="1" x14ac:dyDescent="0.25">
      <c r="B165" s="145" t="s">
        <v>505</v>
      </c>
      <c r="C165" s="139" t="s">
        <v>1313</v>
      </c>
      <c r="D165" s="50" t="str">
        <f>VLOOKUP("T.08.137",Translation,LanguageNo+1,FALSE)</f>
        <v>Sonstige Rechnungsabgrenzungsposten</v>
      </c>
      <c r="E165" s="146"/>
      <c r="F165" s="147"/>
      <c r="G165" s="100">
        <f t="shared" si="3"/>
        <v>0</v>
      </c>
      <c r="H165" s="370"/>
    </row>
    <row r="166" spans="2:23" ht="14.25" customHeight="1" x14ac:dyDescent="0.25">
      <c r="B166" s="94"/>
      <c r="C166" s="94"/>
      <c r="D166" s="149"/>
      <c r="E166" s="96"/>
      <c r="F166" s="96"/>
      <c r="G166" s="96"/>
      <c r="H166" s="371"/>
    </row>
    <row r="167" spans="2:23" ht="14.25" customHeight="1" x14ac:dyDescent="0.25">
      <c r="B167" s="50" t="s">
        <v>508</v>
      </c>
      <c r="C167" s="50"/>
      <c r="D167" s="122" t="str">
        <f>VLOOKUP("T.08.138",Translation,LanguageNo+1,FALSE)</f>
        <v>Total übrige Aktiven</v>
      </c>
      <c r="E167" s="278">
        <f>E93+E106+E114+E116+E121+E136+E140+E142+E144+E153+E155+E159+E161</f>
        <v>0</v>
      </c>
      <c r="F167" s="278">
        <f>F93+F106+F114+F116+F121+F136+F140+F142+F144+F153+F155+F159+F161</f>
        <v>0</v>
      </c>
      <c r="G167" s="97">
        <f t="shared" si="3"/>
        <v>0</v>
      </c>
      <c r="H167" s="369">
        <f>IF($G$169=0,0,G167/$G$169)</f>
        <v>0</v>
      </c>
      <c r="J167" s="379" t="str">
        <f>VLOOKUP("T.08.210",Translation,LanguageNo+1,FALSE) &amp;" "&amp;Unit &amp; SST_Currency</f>
        <v>Aufriss nach Währungen in Mio. CHF</v>
      </c>
      <c r="K167" s="379"/>
      <c r="L167" s="379"/>
      <c r="M167" s="103"/>
      <c r="N167" s="103"/>
      <c r="O167" s="103"/>
      <c r="P167" s="103"/>
    </row>
    <row r="168" spans="2:23" ht="14.25" customHeight="1" x14ac:dyDescent="0.2">
      <c r="B168" s="94"/>
      <c r="C168" s="94"/>
      <c r="D168" s="158"/>
      <c r="E168" s="96"/>
      <c r="F168" s="96"/>
      <c r="G168" s="96"/>
      <c r="H168" s="371"/>
      <c r="J168" s="105"/>
      <c r="K168" s="150" t="s">
        <v>17</v>
      </c>
      <c r="L168" s="150" t="s">
        <v>18</v>
      </c>
      <c r="M168" s="150" t="s">
        <v>20</v>
      </c>
      <c r="N168" s="150" t="s">
        <v>19</v>
      </c>
      <c r="O168" s="150" t="s">
        <v>25</v>
      </c>
      <c r="P168" s="150" t="s">
        <v>1025</v>
      </c>
      <c r="T168" s="151"/>
      <c r="U168" s="151"/>
      <c r="W168" s="151"/>
    </row>
    <row r="169" spans="2:23" ht="14.25" customHeight="1" x14ac:dyDescent="0.25">
      <c r="B169" s="50" t="s">
        <v>511</v>
      </c>
      <c r="C169" s="139" t="s">
        <v>1263</v>
      </c>
      <c r="D169" s="122" t="str">
        <f>VLOOKUP("T.08.139",Translation,LanguageNo+1,FALSE)</f>
        <v>1.15 Total Aktiven</v>
      </c>
      <c r="E169" s="278">
        <f>E89+E167</f>
        <v>0</v>
      </c>
      <c r="F169" s="278">
        <f>F89+F167</f>
        <v>0</v>
      </c>
      <c r="G169" s="97">
        <f t="shared" si="3"/>
        <v>0</v>
      </c>
      <c r="H169" s="369">
        <f>IF($G$169=0,0,G169/$G$169)</f>
        <v>0</v>
      </c>
      <c r="J169" s="152" t="str">
        <f>IF(ABS(G169-SUM(K169:P169))&lt;0.01,"OK","Korrektur")</f>
        <v>OK</v>
      </c>
      <c r="K169" s="54"/>
      <c r="L169" s="153"/>
      <c r="M169" s="153"/>
      <c r="N169" s="153"/>
      <c r="O169" s="153"/>
      <c r="P169" s="153"/>
    </row>
    <row r="170" spans="2:23" ht="14.25" customHeight="1" x14ac:dyDescent="0.25">
      <c r="B170" s="101"/>
      <c r="C170" s="101"/>
      <c r="D170" s="158"/>
      <c r="E170" s="96"/>
      <c r="F170" s="96"/>
      <c r="G170" s="96"/>
      <c r="H170" s="371"/>
    </row>
    <row r="171" spans="2:23" ht="14.25" customHeight="1" x14ac:dyDescent="0.25">
      <c r="B171" s="50"/>
      <c r="C171" s="50"/>
      <c r="D171" s="142" t="str">
        <f>VLOOKUP("T.08.140",Translation,LanguageNo+1,FALSE)</f>
        <v>Fremdkapital</v>
      </c>
      <c r="E171" s="127"/>
      <c r="F171" s="127"/>
      <c r="G171" s="100"/>
      <c r="H171" s="370"/>
    </row>
    <row r="172" spans="2:23" ht="14.25" customHeight="1" x14ac:dyDescent="0.25">
      <c r="B172" s="94"/>
      <c r="C172" s="94"/>
      <c r="D172" s="154"/>
      <c r="E172" s="96"/>
      <c r="F172" s="96"/>
      <c r="G172" s="96"/>
      <c r="H172" s="371"/>
    </row>
    <row r="173" spans="2:23" ht="14.25" customHeight="1" x14ac:dyDescent="0.25">
      <c r="B173" s="50" t="s">
        <v>515</v>
      </c>
      <c r="C173" s="139"/>
      <c r="D173" s="122" t="str">
        <f>VLOOKUP("T.08.141",Translation,LanguageNo+1,FALSE)</f>
        <v>2.1 Versicherungstechnische Rückstellungen: Brutto</v>
      </c>
      <c r="E173" s="276">
        <f>E174+E183+E185+E192+E194+E203+E205+E206</f>
        <v>0</v>
      </c>
      <c r="F173" s="276">
        <f>F174+F183+F185+F192+F194+F203+F205+F206</f>
        <v>0</v>
      </c>
      <c r="G173" s="97">
        <f t="shared" si="3"/>
        <v>0</v>
      </c>
      <c r="H173" s="369">
        <f>IF($G$169=0,0,G173/$G$169)</f>
        <v>0</v>
      </c>
    </row>
    <row r="174" spans="2:23" ht="14.25" customHeight="1" x14ac:dyDescent="0.25">
      <c r="B174" s="50" t="s">
        <v>516</v>
      </c>
      <c r="C174" s="139" t="s">
        <v>1266</v>
      </c>
      <c r="D174" s="122" t="str">
        <f>VLOOKUP("T.08.142",Translation,LanguageNo+1,FALSE)</f>
        <v>Direktversicherung: Lebensversicherungsgeschäft (ohne ALV)</v>
      </c>
      <c r="E174" s="99">
        <f>E175+SUM(E178:E179)+SUM(E181:E182)</f>
        <v>0</v>
      </c>
      <c r="F174" s="99">
        <f>F175+SUM(F178:F179)+SUM(F181:F182)</f>
        <v>0</v>
      </c>
      <c r="G174" s="100">
        <f t="shared" si="3"/>
        <v>0</v>
      </c>
      <c r="H174" s="370"/>
    </row>
    <row r="175" spans="2:23" s="415" customFormat="1" ht="14.25" customHeight="1" x14ac:dyDescent="0.25">
      <c r="B175" s="460" t="s">
        <v>517</v>
      </c>
      <c r="C175" s="462" t="s">
        <v>1319</v>
      </c>
      <c r="D175" s="460" t="str">
        <f>VLOOKUP("T.08.143",Translation,LanguageNo+1,FALSE)</f>
        <v>Best Estimate der Versicherungsverpflichtungen (Leben): Brutto</v>
      </c>
      <c r="E175" s="463"/>
      <c r="F175" s="465"/>
      <c r="G175" s="522">
        <f t="shared" si="3"/>
        <v>0</v>
      </c>
      <c r="H175" s="523"/>
    </row>
    <row r="176" spans="2:23" s="415" customFormat="1" ht="14.25" customHeight="1" x14ac:dyDescent="0.25">
      <c r="B176" s="460" t="s">
        <v>520</v>
      </c>
      <c r="C176" s="460"/>
      <c r="D176" s="469" t="str">
        <f>VLOOKUP("T.08.144",Translation,LanguageNo+1,FALSE)</f>
        <v>davon Einzelgeschäft</v>
      </c>
      <c r="E176" s="524"/>
      <c r="F176" s="525"/>
      <c r="G176" s="526">
        <f t="shared" si="3"/>
        <v>0</v>
      </c>
      <c r="H176" s="523"/>
    </row>
    <row r="177" spans="2:21" s="415" customFormat="1" ht="14.25" customHeight="1" x14ac:dyDescent="0.25">
      <c r="B177" s="460" t="s">
        <v>523</v>
      </c>
      <c r="C177" s="460"/>
      <c r="D177" s="469" t="str">
        <f>VLOOKUP("T.08.145",Translation,LanguageNo+1,FALSE)</f>
        <v>davon Kollektivgeschäft</v>
      </c>
      <c r="E177" s="524"/>
      <c r="F177" s="525"/>
      <c r="G177" s="526">
        <f t="shared" si="3"/>
        <v>0</v>
      </c>
      <c r="H177" s="523"/>
    </row>
    <row r="178" spans="2:21" s="415" customFormat="1" ht="14.25" customHeight="1" x14ac:dyDescent="0.25">
      <c r="B178" s="460" t="s">
        <v>526</v>
      </c>
      <c r="C178" s="462" t="s">
        <v>1320</v>
      </c>
      <c r="D178" s="460" t="str">
        <f>VLOOKUP("T.08.146",Translation,LanguageNo+1,FALSE)</f>
        <v>Schwankungsrückstellungen und weitere statutarische Reserven (Leben): Brutto</v>
      </c>
      <c r="E178" s="527"/>
      <c r="F178" s="528"/>
      <c r="G178" s="529">
        <f t="shared" si="3"/>
        <v>0</v>
      </c>
      <c r="H178" s="523"/>
    </row>
    <row r="179" spans="2:21" s="415" customFormat="1" ht="14.25" customHeight="1" x14ac:dyDescent="0.25">
      <c r="B179" s="460" t="s">
        <v>527</v>
      </c>
      <c r="C179" s="460"/>
      <c r="D179" s="460" t="str">
        <f>VLOOKUP("T.08.147",Translation,LanguageNo+1,FALSE)</f>
        <v>Best Estimate der sonstigen Versicherungsverpflichtungen (Leben): Brutto</v>
      </c>
      <c r="E179" s="463"/>
      <c r="F179" s="465"/>
      <c r="G179" s="530">
        <f t="shared" si="3"/>
        <v>0</v>
      </c>
      <c r="H179" s="523"/>
    </row>
    <row r="180" spans="2:21" s="415" customFormat="1" ht="14.25" customHeight="1" x14ac:dyDescent="0.25">
      <c r="B180" s="460" t="s">
        <v>531</v>
      </c>
      <c r="C180" s="462" t="s">
        <v>1321</v>
      </c>
      <c r="D180" s="469" t="str">
        <f>VLOOKUP("T.08.148",Translation,LanguageNo+1,FALSE)</f>
        <v>davon Zillmerabschlag (Leben): Brutto</v>
      </c>
      <c r="E180" s="531"/>
      <c r="F180" s="532"/>
      <c r="G180" s="533">
        <f t="shared" si="3"/>
        <v>0</v>
      </c>
      <c r="H180" s="523"/>
      <c r="T180" s="534"/>
      <c r="U180" s="535"/>
    </row>
    <row r="181" spans="2:21" s="415" customFormat="1" ht="14.25" customHeight="1" x14ac:dyDescent="0.25">
      <c r="B181" s="536" t="s">
        <v>534</v>
      </c>
      <c r="C181" s="462" t="s">
        <v>1322</v>
      </c>
      <c r="D181" s="460" t="str">
        <f>VLOOKUP("T.08.149",Translation,LanguageNo+1,FALSE)</f>
        <v>Rückstellungen für vertragliche Überschussbeteiligungen (Leben): Brutto</v>
      </c>
      <c r="E181" s="463"/>
      <c r="F181" s="465"/>
      <c r="G181" s="530">
        <f t="shared" si="3"/>
        <v>0</v>
      </c>
      <c r="H181" s="523"/>
    </row>
    <row r="182" spans="2:21" s="459" customFormat="1" ht="14.25" customHeight="1" x14ac:dyDescent="0.25">
      <c r="B182" s="537" t="s">
        <v>538</v>
      </c>
      <c r="C182" s="538" t="s">
        <v>1323</v>
      </c>
      <c r="D182" s="539" t="str">
        <f>VLOOKUP("T.08.150",Translation,LanguageNo+1,FALSE)</f>
        <v>Rückstellungen für Überschussfonds (Leben): Brutto</v>
      </c>
      <c r="E182" s="540"/>
      <c r="F182" s="541"/>
      <c r="G182" s="542">
        <f t="shared" si="3"/>
        <v>0</v>
      </c>
      <c r="H182" s="543"/>
    </row>
    <row r="183" spans="2:21" s="415" customFormat="1" ht="14.25" customHeight="1" x14ac:dyDescent="0.25">
      <c r="B183" s="536" t="s">
        <v>539</v>
      </c>
      <c r="C183" s="462" t="s">
        <v>1264</v>
      </c>
      <c r="D183" s="480" t="str">
        <f>VLOOKUP("T.08.151",Translation,LanguageNo+1,FALSE)</f>
        <v>Aktive Rückversicherung: Lebensversicherungsgeschäft (ohne ALV)</v>
      </c>
      <c r="E183" s="463"/>
      <c r="F183" s="465"/>
      <c r="G183" s="522">
        <f>E183+F183</f>
        <v>0</v>
      </c>
      <c r="H183" s="523"/>
    </row>
    <row r="184" spans="2:21" ht="14.25" customHeight="1" x14ac:dyDescent="0.25">
      <c r="B184" s="94"/>
      <c r="C184" s="94"/>
      <c r="D184" s="94"/>
      <c r="E184" s="96"/>
      <c r="F184" s="96"/>
      <c r="G184" s="96"/>
      <c r="H184" s="371"/>
    </row>
    <row r="185" spans="2:21" s="424" customFormat="1" ht="14.25" customHeight="1" x14ac:dyDescent="0.25">
      <c r="B185" s="439" t="s">
        <v>541</v>
      </c>
      <c r="C185" s="440" t="s">
        <v>1265</v>
      </c>
      <c r="D185" s="426" t="str">
        <f>VLOOKUP("T.08.152",Translation,LanguageNo+1,FALSE)</f>
        <v>Direktversicherung: Schadenversicherungsgeschäft</v>
      </c>
      <c r="E185" s="509">
        <f>E186+SUM(E188:E191)</f>
        <v>0</v>
      </c>
      <c r="F185" s="509">
        <f>F186+SUM(F188:F191)</f>
        <v>0</v>
      </c>
      <c r="G185" s="422">
        <f t="shared" si="3"/>
        <v>0</v>
      </c>
      <c r="H185" s="505"/>
    </row>
    <row r="186" spans="2:21" s="424" customFormat="1" ht="14.25" customHeight="1" x14ac:dyDescent="0.25">
      <c r="B186" s="439" t="s">
        <v>543</v>
      </c>
      <c r="C186" s="440"/>
      <c r="D186" s="417" t="str">
        <f>VLOOKUP("T.08.153",Translation,LanguageNo+1,FALSE)</f>
        <v>Best Estimate der Versicherungsverpflichtungen (Schaden): Brutto</v>
      </c>
      <c r="E186" s="433"/>
      <c r="F186" s="435"/>
      <c r="G186" s="422">
        <f t="shared" si="3"/>
        <v>0</v>
      </c>
      <c r="H186" s="505"/>
    </row>
    <row r="187" spans="2:21" s="424" customFormat="1" ht="14.25" customHeight="1" x14ac:dyDescent="0.25">
      <c r="B187" s="417" t="s">
        <v>546</v>
      </c>
      <c r="C187" s="417"/>
      <c r="D187" s="431" t="str">
        <f>VLOOKUP("T.08.154",Translation,LanguageNo+1,FALSE)</f>
        <v>davon Best Estimate der Verpflichtungen des UVG-Bestandes: Brutto</v>
      </c>
      <c r="E187" s="510"/>
      <c r="F187" s="507"/>
      <c r="G187" s="508">
        <f t="shared" si="3"/>
        <v>0</v>
      </c>
      <c r="H187" s="505"/>
    </row>
    <row r="188" spans="2:21" s="424" customFormat="1" ht="14.25" customHeight="1" x14ac:dyDescent="0.25">
      <c r="B188" s="417" t="s">
        <v>547</v>
      </c>
      <c r="C188" s="440"/>
      <c r="D188" s="417" t="str">
        <f>VLOOKUP("T.08.155",Translation,LanguageNo+1,FALSE)</f>
        <v>Schwankungsrückstellungen und weitere statutarische Reserven (Schaden): Brutto</v>
      </c>
      <c r="E188" s="511"/>
      <c r="F188" s="512"/>
      <c r="G188" s="513">
        <f t="shared" si="3"/>
        <v>0</v>
      </c>
      <c r="H188" s="505"/>
    </row>
    <row r="189" spans="2:21" s="424" customFormat="1" ht="14.25" customHeight="1" x14ac:dyDescent="0.25">
      <c r="B189" s="439" t="s">
        <v>1314</v>
      </c>
      <c r="C189" s="442"/>
      <c r="D189" s="417" t="str">
        <f>VLOOKUP("T.08.156",Translation,LanguageNo+1,FALSE)</f>
        <v>Best Estimate der sonstigen Versicherungsverpflichtungen (Schaden): Brutto</v>
      </c>
      <c r="E189" s="433"/>
      <c r="F189" s="435"/>
      <c r="G189" s="422">
        <f t="shared" si="3"/>
        <v>0</v>
      </c>
      <c r="H189" s="505"/>
    </row>
    <row r="190" spans="2:21" s="424" customFormat="1" ht="14.25" customHeight="1" x14ac:dyDescent="0.25">
      <c r="B190" s="417" t="s">
        <v>553</v>
      </c>
      <c r="C190" s="440"/>
      <c r="D190" s="417" t="str">
        <f>VLOOKUP("T.08.157",Translation,LanguageNo+1,FALSE)</f>
        <v>Rückstellungen für vertragliche Überschussbeteiligungen (Schaden): Brutto</v>
      </c>
      <c r="E190" s="433"/>
      <c r="F190" s="435"/>
      <c r="G190" s="422">
        <f t="shared" si="3"/>
        <v>0</v>
      </c>
      <c r="H190" s="505"/>
    </row>
    <row r="191" spans="2:21" s="424" customFormat="1" ht="14.25" customHeight="1" x14ac:dyDescent="0.25">
      <c r="B191" s="417" t="s">
        <v>554</v>
      </c>
      <c r="C191" s="440"/>
      <c r="D191" s="417" t="str">
        <f>VLOOKUP("T.08.158",Translation,LanguageNo+1,FALSE)</f>
        <v>Rückstellungen für Überschussfonds (Schaden): Brutto</v>
      </c>
      <c r="E191" s="444"/>
      <c r="F191" s="445"/>
      <c r="G191" s="422">
        <f t="shared" si="3"/>
        <v>0</v>
      </c>
      <c r="H191" s="505"/>
    </row>
    <row r="192" spans="2:21" s="424" customFormat="1" ht="14.25" customHeight="1" x14ac:dyDescent="0.25">
      <c r="B192" s="417" t="s">
        <v>556</v>
      </c>
      <c r="C192" s="440" t="s">
        <v>1267</v>
      </c>
      <c r="D192" s="426" t="str">
        <f>VLOOKUP("T.08.159",Translation,LanguageNo+1,FALSE)</f>
        <v>Aktive Rückversicherung: Schadenversicherungsgeschäft</v>
      </c>
      <c r="E192" s="433"/>
      <c r="F192" s="435"/>
      <c r="G192" s="422">
        <f>E192+F192</f>
        <v>0</v>
      </c>
      <c r="H192" s="505"/>
    </row>
    <row r="193" spans="2:8" s="424" customFormat="1" ht="14.25" customHeight="1" x14ac:dyDescent="0.25">
      <c r="B193" s="417"/>
      <c r="C193" s="417"/>
      <c r="D193" s="439"/>
      <c r="E193" s="422"/>
      <c r="F193" s="422"/>
      <c r="G193" s="422"/>
      <c r="H193" s="505"/>
    </row>
    <row r="194" spans="2:8" s="424" customFormat="1" ht="14.25" customHeight="1" x14ac:dyDescent="0.25">
      <c r="B194" s="417" t="s">
        <v>557</v>
      </c>
      <c r="C194" s="440" t="s">
        <v>1324</v>
      </c>
      <c r="D194" s="447" t="str">
        <f>VLOOKUP("T.08.160",Translation,LanguageNo+1,FALSE)</f>
        <v>Direktversicherung: Krankenversicherungsgeschäft</v>
      </c>
      <c r="E194" s="509">
        <f>E195+SUM(E198:E202)</f>
        <v>0</v>
      </c>
      <c r="F194" s="509">
        <f>F195+SUM(F198:F202)</f>
        <v>0</v>
      </c>
      <c r="G194" s="422">
        <f t="shared" si="3"/>
        <v>0</v>
      </c>
      <c r="H194" s="505"/>
    </row>
    <row r="195" spans="2:8" s="424" customFormat="1" ht="14.25" customHeight="1" x14ac:dyDescent="0.25">
      <c r="B195" s="417" t="s">
        <v>559</v>
      </c>
      <c r="C195" s="417"/>
      <c r="D195" s="439" t="str">
        <f>VLOOKUP("T.08.161",Translation,LanguageNo+1,FALSE)</f>
        <v>Best Estimate der Versicherungsverpflichtungen (Kranken): Brutto</v>
      </c>
      <c r="E195" s="433"/>
      <c r="F195" s="435"/>
      <c r="G195" s="422">
        <f t="shared" si="3"/>
        <v>0</v>
      </c>
      <c r="H195" s="505"/>
    </row>
    <row r="196" spans="2:8" s="424" customFormat="1" ht="14.25" customHeight="1" x14ac:dyDescent="0.25">
      <c r="B196" s="417" t="s">
        <v>560</v>
      </c>
      <c r="C196" s="417"/>
      <c r="D196" s="455" t="str">
        <f>VLOOKUP("T.08.162",Translation,LanguageNo+1,FALSE)</f>
        <v>davon Best Estimate der Versicherungsverpflichtungen Einzelkranken: Brutto</v>
      </c>
      <c r="E196" s="510"/>
      <c r="F196" s="507"/>
      <c r="G196" s="508">
        <f t="shared" si="3"/>
        <v>0</v>
      </c>
      <c r="H196" s="505"/>
    </row>
    <row r="197" spans="2:8" s="424" customFormat="1" ht="14.25" customHeight="1" x14ac:dyDescent="0.25">
      <c r="B197" s="417" t="s">
        <v>563</v>
      </c>
      <c r="C197" s="417"/>
      <c r="D197" s="455" t="str">
        <f>VLOOKUP("T.08.163",Translation,LanguageNo+1,FALSE)</f>
        <v>davon Best Estimate der Versicherungsverpflichtungen Kollektivtaggeld: Brutto</v>
      </c>
      <c r="E197" s="510"/>
      <c r="F197" s="507"/>
      <c r="G197" s="508">
        <f t="shared" si="3"/>
        <v>0</v>
      </c>
      <c r="H197" s="505"/>
    </row>
    <row r="198" spans="2:8" s="424" customFormat="1" ht="14.25" customHeight="1" x14ac:dyDescent="0.25">
      <c r="B198" s="417" t="s">
        <v>567</v>
      </c>
      <c r="C198" s="440"/>
      <c r="D198" s="417" t="str">
        <f>VLOOKUP("T.08.164",Translation,LanguageNo+1,FALSE)</f>
        <v>Best Estimate der Langzeitverpflichtungen (Kranken): Brutto</v>
      </c>
      <c r="E198" s="433"/>
      <c r="F198" s="435"/>
      <c r="G198" s="422">
        <f t="shared" si="3"/>
        <v>0</v>
      </c>
      <c r="H198" s="505"/>
    </row>
    <row r="199" spans="2:8" s="424" customFormat="1" ht="14.25" customHeight="1" x14ac:dyDescent="0.25">
      <c r="B199" s="417" t="s">
        <v>569</v>
      </c>
      <c r="C199" s="440" t="s">
        <v>1325</v>
      </c>
      <c r="D199" s="423" t="str">
        <f>VLOOKUP("T.08.165",Translation,LanguageNo+1,FALSE)</f>
        <v>Schwankungsrückstellungen und weitere statutarische Reserven (Kranken): Brutto</v>
      </c>
      <c r="E199" s="511"/>
      <c r="F199" s="512"/>
      <c r="G199" s="513">
        <f t="shared" si="3"/>
        <v>0</v>
      </c>
      <c r="H199" s="505"/>
    </row>
    <row r="200" spans="2:8" s="424" customFormat="1" ht="14.25" customHeight="1" x14ac:dyDescent="0.25">
      <c r="B200" s="417" t="s">
        <v>570</v>
      </c>
      <c r="C200" s="417"/>
      <c r="D200" s="439" t="str">
        <f>VLOOKUP("T.08.166",Translation,LanguageNo+1,FALSE)</f>
        <v>Best Estimate der sonstigen Versicherungsverpflichtungen (Kranken): Brutto</v>
      </c>
      <c r="E200" s="433"/>
      <c r="F200" s="435"/>
      <c r="G200" s="422">
        <f t="shared" si="3"/>
        <v>0</v>
      </c>
      <c r="H200" s="505"/>
    </row>
    <row r="201" spans="2:8" s="424" customFormat="1" ht="14.25" customHeight="1" x14ac:dyDescent="0.25">
      <c r="B201" s="439" t="s">
        <v>1268</v>
      </c>
      <c r="C201" s="417"/>
      <c r="D201" s="417" t="str">
        <f>VLOOKUP("T.08.167",Translation,LanguageNo+1,FALSE)</f>
        <v>Rückstellungen für vertragliche Überschussbeteiligungen (Kranken): Brutto</v>
      </c>
      <c r="E201" s="433"/>
      <c r="F201" s="435"/>
      <c r="G201" s="422">
        <f t="shared" si="3"/>
        <v>0</v>
      </c>
      <c r="H201" s="505"/>
    </row>
    <row r="202" spans="2:8" s="424" customFormat="1" ht="14.25" customHeight="1" x14ac:dyDescent="0.25">
      <c r="B202" s="417" t="s">
        <v>574</v>
      </c>
      <c r="C202" s="417"/>
      <c r="D202" s="423" t="str">
        <f>VLOOKUP("T.08.168",Translation,LanguageNo+1,FALSE)</f>
        <v>Rückstellungen für Überschussfonds (Kranken): Brutto</v>
      </c>
      <c r="E202" s="444"/>
      <c r="F202" s="445"/>
      <c r="G202" s="422">
        <f t="shared" si="3"/>
        <v>0</v>
      </c>
      <c r="H202" s="505"/>
    </row>
    <row r="203" spans="2:8" s="424" customFormat="1" ht="14.25" customHeight="1" x14ac:dyDescent="0.25">
      <c r="B203" s="417" t="s">
        <v>577</v>
      </c>
      <c r="C203" s="440" t="s">
        <v>1270</v>
      </c>
      <c r="D203" s="420" t="str">
        <f>VLOOKUP("T.08.169",Translation,LanguageNo+1,FALSE)</f>
        <v>Aktive Rückversicherung: Krankenversicherungsgeschäft</v>
      </c>
      <c r="E203" s="433"/>
      <c r="F203" s="435"/>
      <c r="G203" s="422">
        <f>E203+F203</f>
        <v>0</v>
      </c>
      <c r="H203" s="505"/>
    </row>
    <row r="204" spans="2:8" s="424" customFormat="1" ht="14.25" customHeight="1" x14ac:dyDescent="0.25">
      <c r="B204" s="417"/>
      <c r="C204" s="417"/>
      <c r="D204" s="423"/>
      <c r="E204" s="422"/>
      <c r="F204" s="422"/>
      <c r="G204" s="422"/>
      <c r="H204" s="505"/>
    </row>
    <row r="205" spans="2:8" s="424" customFormat="1" ht="14.25" customHeight="1" x14ac:dyDescent="0.25">
      <c r="B205" s="417" t="s">
        <v>580</v>
      </c>
      <c r="C205" s="417"/>
      <c r="D205" s="454" t="str">
        <f>VLOOKUP("T.08.170",Translation,LanguageNo+1,FALSE)</f>
        <v>Direktversicherung: Sonstiges Geschäft</v>
      </c>
      <c r="E205" s="514"/>
      <c r="F205" s="515"/>
      <c r="G205" s="422">
        <f t="shared" si="3"/>
        <v>0</v>
      </c>
      <c r="H205" s="505"/>
    </row>
    <row r="206" spans="2:8" s="424" customFormat="1" ht="14.25" customHeight="1" x14ac:dyDescent="0.25">
      <c r="B206" s="417" t="s">
        <v>583</v>
      </c>
      <c r="C206" s="417"/>
      <c r="D206" s="426" t="str">
        <f>VLOOKUP("T.08.171",Translation,LanguageNo+1,FALSE)</f>
        <v>Aktive Rückversicherung: Sonstiges Geschäft</v>
      </c>
      <c r="E206" s="444"/>
      <c r="F206" s="445"/>
      <c r="G206" s="422">
        <f>E206+F206</f>
        <v>0</v>
      </c>
      <c r="H206" s="505"/>
    </row>
    <row r="207" spans="2:8" s="424" customFormat="1" ht="14.25" customHeight="1" x14ac:dyDescent="0.25">
      <c r="B207" s="417"/>
      <c r="C207" s="417"/>
      <c r="D207" s="439"/>
      <c r="E207" s="422"/>
      <c r="F207" s="422"/>
      <c r="G207" s="422"/>
      <c r="H207" s="505"/>
    </row>
    <row r="208" spans="2:8" s="424" customFormat="1" ht="14.25" customHeight="1" x14ac:dyDescent="0.25">
      <c r="B208" s="417" t="s">
        <v>587</v>
      </c>
      <c r="C208" s="440" t="s">
        <v>1326</v>
      </c>
      <c r="D208" s="454" t="str">
        <f>VLOOKUP("T.08.172",Translation,LanguageNo+1,FALSE)</f>
        <v>2.2 Versicherungstechnische Rückstellungen für anteilgebundene Lebensversicherung: Brutto</v>
      </c>
      <c r="E208" s="516">
        <f>E209+E211+E213+E214</f>
        <v>0</v>
      </c>
      <c r="F208" s="516">
        <f>F209+F211+F213+F214</f>
        <v>0</v>
      </c>
      <c r="G208" s="517">
        <f t="shared" ref="G208:G254" si="4">E208+F208</f>
        <v>0</v>
      </c>
      <c r="H208" s="518">
        <f>IF($G$169=0,0,G208/$G$169)</f>
        <v>0</v>
      </c>
    </row>
    <row r="209" spans="2:8" s="424" customFormat="1" ht="14.25" customHeight="1" x14ac:dyDescent="0.25">
      <c r="B209" s="417" t="s">
        <v>591</v>
      </c>
      <c r="C209" s="417"/>
      <c r="D209" s="417" t="str">
        <f>VLOOKUP("T.08.173",Translation,LanguageNo+1,FALSE)</f>
        <v>Fondsanteilgebundene Lebensversicherung (A 2.1 - A 2.3 &amp; A 6.1)</v>
      </c>
      <c r="E209" s="433"/>
      <c r="F209" s="435"/>
      <c r="G209" s="422">
        <f t="shared" si="4"/>
        <v>0</v>
      </c>
      <c r="H209" s="505"/>
    </row>
    <row r="210" spans="2:8" s="424" customFormat="1" ht="14.25" customHeight="1" x14ac:dyDescent="0.25">
      <c r="B210" s="417" t="s">
        <v>595</v>
      </c>
      <c r="C210" s="417"/>
      <c r="D210" s="431" t="str">
        <f>VLOOKUP("T.08.174",Translation,LanguageNo+1,FALSE)</f>
        <v>davon Optionen und Garantien</v>
      </c>
      <c r="E210" s="510"/>
      <c r="F210" s="507"/>
      <c r="G210" s="508">
        <f t="shared" si="4"/>
        <v>0</v>
      </c>
      <c r="H210" s="505"/>
    </row>
    <row r="211" spans="2:8" s="424" customFormat="1" ht="14.25" customHeight="1" x14ac:dyDescent="0.25">
      <c r="B211" s="417" t="s">
        <v>596</v>
      </c>
      <c r="C211" s="417"/>
      <c r="D211" s="417" t="str">
        <f>VLOOKUP("T.08.175",Translation,LanguageNo+1,FALSE)</f>
        <v>An interne Anlagebestände oder andere Bezugswerte gebundene Lebensversicherung: Brutto (A 2.4 - A 2.6 &amp; A 6.2)</v>
      </c>
      <c r="E211" s="433"/>
      <c r="F211" s="435"/>
      <c r="G211" s="422">
        <f t="shared" si="4"/>
        <v>0</v>
      </c>
      <c r="H211" s="505"/>
    </row>
    <row r="212" spans="2:8" s="424" customFormat="1" ht="14.25" customHeight="1" x14ac:dyDescent="0.25">
      <c r="B212" s="519" t="s">
        <v>599</v>
      </c>
      <c r="C212" s="417"/>
      <c r="D212" s="431" t="str">
        <f>VLOOKUP("T.08.176",Translation,LanguageNo+1,FALSE)</f>
        <v>davon Optionen und Garantien</v>
      </c>
      <c r="E212" s="510"/>
      <c r="F212" s="507"/>
      <c r="G212" s="508">
        <f t="shared" si="4"/>
        <v>0</v>
      </c>
      <c r="H212" s="505"/>
    </row>
    <row r="213" spans="2:8" s="424" customFormat="1" ht="14.25" customHeight="1" x14ac:dyDescent="0.25">
      <c r="B213" s="519" t="s">
        <v>603</v>
      </c>
      <c r="C213" s="417" t="s">
        <v>1397</v>
      </c>
      <c r="D213" s="417" t="str">
        <f>VLOOKUP("T.08.177",Translation,LanguageNo+1,FALSE)</f>
        <v>Schwankungsrückstellungen für anteilgebundene Lebensversicherungen direktes Geschäft: Brutto</v>
      </c>
      <c r="E213" s="520"/>
      <c r="F213" s="521"/>
      <c r="G213" s="513">
        <f t="shared" si="4"/>
        <v>0</v>
      </c>
      <c r="H213" s="505"/>
    </row>
    <row r="214" spans="2:8" s="424" customFormat="1" ht="14.25" customHeight="1" x14ac:dyDescent="0.25">
      <c r="B214" s="519" t="s">
        <v>607</v>
      </c>
      <c r="C214" s="440" t="s">
        <v>1269</v>
      </c>
      <c r="D214" s="417" t="str">
        <f>VLOOKUP("T.08.178",Translation,LanguageNo+1,FALSE)</f>
        <v>Aktive Rückversicherung: Anteilgebundenes Lebensversicherungsgeschäft</v>
      </c>
      <c r="E214" s="444"/>
      <c r="F214" s="445"/>
      <c r="G214" s="422">
        <f t="shared" si="4"/>
        <v>0</v>
      </c>
      <c r="H214" s="505"/>
    </row>
    <row r="215" spans="2:8" ht="14.25" customHeight="1" x14ac:dyDescent="0.25">
      <c r="B215" s="94"/>
      <c r="C215" s="94"/>
      <c r="D215" s="158"/>
      <c r="E215" s="96"/>
      <c r="F215" s="96"/>
      <c r="G215" s="96"/>
      <c r="H215" s="371"/>
    </row>
    <row r="216" spans="2:8" ht="14.25" customHeight="1" x14ac:dyDescent="0.25">
      <c r="B216" s="50" t="s">
        <v>611</v>
      </c>
      <c r="C216" s="139" t="s">
        <v>1271</v>
      </c>
      <c r="D216" s="140" t="str">
        <f>VLOOKUP("T.08.179",Translation,LanguageNo+1,FALSE)</f>
        <v>2.3 Nichtversicherungstechnische Rückstellungen</v>
      </c>
      <c r="E216" s="278">
        <f>SUM(E217:E219)</f>
        <v>0</v>
      </c>
      <c r="F216" s="278">
        <f>SUM(F217:F219)</f>
        <v>0</v>
      </c>
      <c r="G216" s="97">
        <f t="shared" si="4"/>
        <v>0</v>
      </c>
      <c r="H216" s="369">
        <f>IF($G$169=0,0,G216/$G$169)</f>
        <v>0</v>
      </c>
    </row>
    <row r="217" spans="2:8" ht="14.25" customHeight="1" x14ac:dyDescent="0.25">
      <c r="B217" s="50" t="s">
        <v>615</v>
      </c>
      <c r="C217" s="139" t="s">
        <v>1327</v>
      </c>
      <c r="D217" s="50" t="str">
        <f>VLOOKUP("T.08.180",Translation,LanguageNo+1,FALSE)</f>
        <v>Rückstellungen für Personalvorsorge</v>
      </c>
      <c r="E217" s="85"/>
      <c r="F217" s="104"/>
      <c r="G217" s="100">
        <f t="shared" si="4"/>
        <v>0</v>
      </c>
      <c r="H217" s="370"/>
    </row>
    <row r="218" spans="2:8" ht="14.25" customHeight="1" x14ac:dyDescent="0.25">
      <c r="B218" s="50" t="s">
        <v>619</v>
      </c>
      <c r="C218" s="139" t="s">
        <v>1328</v>
      </c>
      <c r="D218" s="50" t="str">
        <f>VLOOKUP("T.08.181",Translation,LanguageNo+1,FALSE)</f>
        <v xml:space="preserve">Finanzielle Rückstellungen </v>
      </c>
      <c r="E218" s="347"/>
      <c r="F218" s="348"/>
      <c r="G218" s="344">
        <f t="shared" si="4"/>
        <v>0</v>
      </c>
      <c r="H218" s="370"/>
    </row>
    <row r="219" spans="2:8" ht="14.25" customHeight="1" x14ac:dyDescent="0.25">
      <c r="B219" s="50" t="s">
        <v>622</v>
      </c>
      <c r="C219" s="307" t="s">
        <v>181</v>
      </c>
      <c r="D219" s="50" t="str">
        <f>VLOOKUP("T.08.182",Translation,LanguageNo+1,FALSE)</f>
        <v xml:space="preserve">Sonstige Rückstellungen </v>
      </c>
      <c r="E219" s="131"/>
      <c r="F219" s="275"/>
      <c r="G219" s="100">
        <f t="shared" si="4"/>
        <v>0</v>
      </c>
      <c r="H219" s="370"/>
    </row>
    <row r="220" spans="2:8" ht="14.25" customHeight="1" x14ac:dyDescent="0.25">
      <c r="B220" s="94"/>
      <c r="C220" s="94"/>
      <c r="D220" s="94"/>
      <c r="E220" s="96"/>
      <c r="F220" s="96"/>
      <c r="G220" s="96"/>
      <c r="H220" s="371"/>
    </row>
    <row r="221" spans="2:8" ht="14.25" customHeight="1" x14ac:dyDescent="0.25">
      <c r="B221" s="50" t="s">
        <v>623</v>
      </c>
      <c r="C221" s="139" t="s">
        <v>1272</v>
      </c>
      <c r="D221" s="98" t="str">
        <f>VLOOKUP("T.08.183",Translation,LanguageNo+1,FALSE)</f>
        <v>2.4 Verzinsliche Verbindlichkeiten</v>
      </c>
      <c r="E221" s="282"/>
      <c r="F221" s="283"/>
      <c r="G221" s="97">
        <f t="shared" si="4"/>
        <v>0</v>
      </c>
      <c r="H221" s="369">
        <f>IF($G$169=0,0,G221/$G$169)</f>
        <v>0</v>
      </c>
    </row>
    <row r="222" spans="2:8" ht="14.25" customHeight="1" x14ac:dyDescent="0.25">
      <c r="B222" s="94"/>
      <c r="C222" s="94"/>
      <c r="D222" s="101"/>
      <c r="E222" s="96"/>
      <c r="F222" s="96"/>
      <c r="G222" s="96"/>
      <c r="H222" s="371"/>
    </row>
    <row r="223" spans="2:8" ht="14.25" customHeight="1" x14ac:dyDescent="0.25">
      <c r="B223" s="50" t="s">
        <v>624</v>
      </c>
      <c r="C223" s="139" t="s">
        <v>1273</v>
      </c>
      <c r="D223" s="98" t="str">
        <f>VLOOKUP("T.08.184",Translation,LanguageNo+1,FALSE)</f>
        <v>2.5. Verbindlichkeiten aus derivativen Finanzinstrumenten</v>
      </c>
      <c r="E223" s="278">
        <f>SUM(E224:E229)</f>
        <v>0</v>
      </c>
      <c r="F223" s="278">
        <f>SUM(F224:F229)</f>
        <v>0</v>
      </c>
      <c r="G223" s="97">
        <f t="shared" si="4"/>
        <v>0</v>
      </c>
      <c r="H223" s="369">
        <f>IF($G$169=0,0,G223/$G$169)</f>
        <v>0</v>
      </c>
    </row>
    <row r="224" spans="2:8" ht="14.25" customHeight="1" x14ac:dyDescent="0.25">
      <c r="B224" s="50" t="s">
        <v>625</v>
      </c>
      <c r="C224" s="139" t="s">
        <v>1274</v>
      </c>
      <c r="D224" s="50" t="str">
        <f>VLOOKUP("T.08.185",Translation,LanguageNo+1,FALSE)</f>
        <v>Zinsrisikobezogene Instrumente</v>
      </c>
      <c r="E224" s="85"/>
      <c r="F224" s="104"/>
      <c r="G224" s="100">
        <f t="shared" si="4"/>
        <v>0</v>
      </c>
      <c r="H224" s="370"/>
    </row>
    <row r="225" spans="2:8" ht="14.25" customHeight="1" x14ac:dyDescent="0.25">
      <c r="B225" s="50" t="s">
        <v>626</v>
      </c>
      <c r="C225" s="139" t="s">
        <v>1275</v>
      </c>
      <c r="D225" s="50" t="str">
        <f>VLOOKUP("T.08.186",Translation,LanguageNo+1,FALSE)</f>
        <v>Währungsrisikobezogene Instrumente</v>
      </c>
      <c r="E225" s="85"/>
      <c r="F225" s="104"/>
      <c r="G225" s="100">
        <f t="shared" si="4"/>
        <v>0</v>
      </c>
      <c r="H225" s="370"/>
    </row>
    <row r="226" spans="2:8" ht="14.25" customHeight="1" x14ac:dyDescent="0.25">
      <c r="B226" s="307" t="s">
        <v>629</v>
      </c>
      <c r="C226" s="139" t="s">
        <v>1276</v>
      </c>
      <c r="D226" s="50" t="str">
        <f>VLOOKUP("T.08.187",Translation,LanguageNo+1,FALSE)</f>
        <v>(Aktien-)Marktrisikobezogene Instrumente</v>
      </c>
      <c r="E226" s="85"/>
      <c r="F226" s="104"/>
      <c r="G226" s="100">
        <f t="shared" si="4"/>
        <v>0</v>
      </c>
      <c r="H226" s="370"/>
    </row>
    <row r="227" spans="2:8" ht="14.25" customHeight="1" x14ac:dyDescent="0.25">
      <c r="B227" s="145" t="s">
        <v>630</v>
      </c>
      <c r="C227" s="139" t="s">
        <v>1277</v>
      </c>
      <c r="D227" s="50" t="str">
        <f>VLOOKUP("T.08.188",Translation,LanguageNo+1,FALSE)</f>
        <v>Kreditrisikobezogene Instrumente</v>
      </c>
      <c r="E227" s="85"/>
      <c r="F227" s="104"/>
      <c r="G227" s="100">
        <f t="shared" si="4"/>
        <v>0</v>
      </c>
      <c r="H227" s="370"/>
    </row>
    <row r="228" spans="2:8" ht="14.25" customHeight="1" x14ac:dyDescent="0.25">
      <c r="B228" s="145" t="s">
        <v>633</v>
      </c>
      <c r="C228" s="50" t="s">
        <v>1278</v>
      </c>
      <c r="D228" s="50" t="str">
        <f>VLOOKUP("T.08.189",Translation,LanguageNo+1,FALSE)</f>
        <v>Versicherungsbezogene Instrumente (z.B. Cat Derivate)</v>
      </c>
      <c r="E228" s="85"/>
      <c r="F228" s="104"/>
      <c r="G228" s="100">
        <f t="shared" si="4"/>
        <v>0</v>
      </c>
      <c r="H228" s="370"/>
    </row>
    <row r="229" spans="2:8" ht="14.25" customHeight="1" x14ac:dyDescent="0.25">
      <c r="B229" s="145" t="s">
        <v>637</v>
      </c>
      <c r="C229" s="50" t="s">
        <v>1279</v>
      </c>
      <c r="D229" s="307" t="str">
        <f>VLOOKUP("T.08.190",Translation,LanguageNo+1,FALSE)</f>
        <v>Übrige derivative Instrumente</v>
      </c>
      <c r="E229" s="131"/>
      <c r="F229" s="275"/>
      <c r="G229" s="100">
        <f t="shared" si="4"/>
        <v>0</v>
      </c>
      <c r="H229" s="370"/>
    </row>
    <row r="230" spans="2:8" ht="14.25" customHeight="1" x14ac:dyDescent="0.25">
      <c r="B230" s="94"/>
      <c r="C230" s="94"/>
      <c r="D230" s="101"/>
      <c r="E230" s="96"/>
      <c r="F230" s="96"/>
      <c r="G230" s="96"/>
      <c r="H230" s="371"/>
    </row>
    <row r="231" spans="2:8" ht="14.25" customHeight="1" x14ac:dyDescent="0.25">
      <c r="B231" s="217" t="s">
        <v>638</v>
      </c>
      <c r="C231" s="139" t="s">
        <v>1280</v>
      </c>
      <c r="D231" s="156" t="str">
        <f>VLOOKUP("T.08.191",Translation,LanguageNo+1,FALSE)</f>
        <v>2.6 Depotverbindlichkeiten aus abgegebener Rückversicherung</v>
      </c>
      <c r="E231" s="282"/>
      <c r="F231" s="283"/>
      <c r="G231" s="97">
        <f t="shared" si="4"/>
        <v>0</v>
      </c>
      <c r="H231" s="369">
        <f>IF($G$169=0,0,G231/$G$169)</f>
        <v>0</v>
      </c>
    </row>
    <row r="232" spans="2:8" ht="14.25" customHeight="1" x14ac:dyDescent="0.25">
      <c r="B232" s="94"/>
      <c r="C232" s="94"/>
      <c r="D232" s="158"/>
      <c r="E232" s="96"/>
      <c r="F232" s="96"/>
      <c r="G232" s="96"/>
      <c r="H232" s="371"/>
    </row>
    <row r="233" spans="2:8" ht="14.25" customHeight="1" x14ac:dyDescent="0.25">
      <c r="B233" s="50" t="s">
        <v>642</v>
      </c>
      <c r="C233" s="139" t="s">
        <v>1281</v>
      </c>
      <c r="D233" s="140" t="str">
        <f>VLOOKUP("T.08.192",Translation,LanguageNo+1,FALSE)</f>
        <v>2.7 Verbindlichkeiten aus dem Versicherungsgeschäft</v>
      </c>
      <c r="E233" s="279">
        <f>SUM(E234:E235)</f>
        <v>0</v>
      </c>
      <c r="F233" s="279">
        <f>SUM(F234:F235)</f>
        <v>0</v>
      </c>
      <c r="G233" s="97">
        <f t="shared" si="4"/>
        <v>0</v>
      </c>
      <c r="H233" s="369">
        <f>IF($G$169=0,0,G233/$G$169)</f>
        <v>0</v>
      </c>
    </row>
    <row r="234" spans="2:8" ht="14.25" customHeight="1" x14ac:dyDescent="0.25">
      <c r="B234" s="50" t="s">
        <v>646</v>
      </c>
      <c r="C234" s="139" t="s">
        <v>1329</v>
      </c>
      <c r="D234" s="217" t="str">
        <f>VLOOKUP("T.08.193",Translation,LanguageNo+1,FALSE)</f>
        <v>Sonstige Depotverbindlichkeiten</v>
      </c>
      <c r="E234" s="85"/>
      <c r="F234" s="104"/>
      <c r="G234" s="100">
        <f t="shared" si="4"/>
        <v>0</v>
      </c>
      <c r="H234" s="370"/>
    </row>
    <row r="235" spans="2:8" ht="14.25" customHeight="1" x14ac:dyDescent="0.25">
      <c r="B235" s="50" t="s">
        <v>650</v>
      </c>
      <c r="C235" s="50" t="s">
        <v>181</v>
      </c>
      <c r="D235" s="217" t="str">
        <f>VLOOKUP("T.08.194",Translation,LanguageNo+1,FALSE)</f>
        <v>Sonstige Verbindlichkeiten aus dem Versicherungsgeschäft</v>
      </c>
      <c r="E235" s="131"/>
      <c r="F235" s="275"/>
      <c r="G235" s="100">
        <f t="shared" si="4"/>
        <v>0</v>
      </c>
      <c r="H235" s="370"/>
    </row>
    <row r="236" spans="2:8" ht="14.25" customHeight="1" x14ac:dyDescent="0.25">
      <c r="B236" s="94"/>
      <c r="C236" s="94"/>
      <c r="D236" s="157"/>
      <c r="E236" s="96"/>
      <c r="F236" s="96"/>
      <c r="G236" s="96"/>
      <c r="H236" s="371"/>
    </row>
    <row r="237" spans="2:8" ht="14.25" customHeight="1" x14ac:dyDescent="0.25">
      <c r="B237" s="50" t="s">
        <v>654</v>
      </c>
      <c r="C237" s="139" t="s">
        <v>1282</v>
      </c>
      <c r="D237" s="140" t="str">
        <f>VLOOKUP("T.08.195",Translation,LanguageNo+1,FALSE)</f>
        <v>2.8 Sonstige Passiven</v>
      </c>
      <c r="E237" s="278">
        <f>SUM(E238:E239)</f>
        <v>0</v>
      </c>
      <c r="F237" s="278">
        <f>SUM(F238:F239)</f>
        <v>0</v>
      </c>
      <c r="G237" s="97">
        <f t="shared" si="4"/>
        <v>0</v>
      </c>
      <c r="H237" s="369">
        <f>IF($G$169=0,0,G237/$G$169)</f>
        <v>0</v>
      </c>
    </row>
    <row r="238" spans="2:8" ht="14.25" customHeight="1" x14ac:dyDescent="0.25">
      <c r="B238" s="50" t="s">
        <v>658</v>
      </c>
      <c r="C238" s="50"/>
      <c r="D238" s="50" t="str">
        <f>VLOOKUP("T.08.196",Translation,LanguageNo+1,FALSE)</f>
        <v>Gegebene Garantien, Bürgschaften</v>
      </c>
      <c r="E238" s="85"/>
      <c r="F238" s="104"/>
      <c r="G238" s="100">
        <f t="shared" si="4"/>
        <v>0</v>
      </c>
      <c r="H238" s="370"/>
    </row>
    <row r="239" spans="2:8" ht="14.25" customHeight="1" x14ac:dyDescent="0.25">
      <c r="B239" s="50" t="s">
        <v>659</v>
      </c>
      <c r="C239" s="139" t="s">
        <v>181</v>
      </c>
      <c r="D239" s="50" t="str">
        <f>VLOOKUP("T.08.197",Translation,LanguageNo+1,FALSE)</f>
        <v>Sonstige Verbindlichkeiten</v>
      </c>
      <c r="E239" s="131"/>
      <c r="F239" s="275"/>
      <c r="G239" s="100">
        <f t="shared" si="4"/>
        <v>0</v>
      </c>
      <c r="H239" s="370"/>
    </row>
    <row r="240" spans="2:8" ht="14.25" customHeight="1" x14ac:dyDescent="0.25">
      <c r="B240" s="94"/>
      <c r="C240" s="94"/>
      <c r="D240" s="158"/>
      <c r="E240" s="96"/>
      <c r="F240" s="96"/>
      <c r="G240" s="96"/>
      <c r="H240" s="371"/>
    </row>
    <row r="241" spans="2:16" ht="14.25" customHeight="1" x14ac:dyDescent="0.25">
      <c r="B241" s="84" t="s">
        <v>661</v>
      </c>
      <c r="C241" s="139" t="s">
        <v>1283</v>
      </c>
      <c r="D241" s="140" t="str">
        <f>VLOOKUP("T.08.198",Translation,LanguageNo+1,FALSE)</f>
        <v>2.9. Passive Rechnungsabgrenzungen</v>
      </c>
      <c r="E241" s="278">
        <f>SUM(E242:E243)</f>
        <v>0</v>
      </c>
      <c r="F241" s="278">
        <f>SUM(F242:F243)</f>
        <v>0</v>
      </c>
      <c r="G241" s="97">
        <f t="shared" si="4"/>
        <v>0</v>
      </c>
      <c r="H241" s="369">
        <f>IF($G$169=0,0,G241/$G$169)</f>
        <v>0</v>
      </c>
    </row>
    <row r="242" spans="2:16" ht="14.25" customHeight="1" x14ac:dyDescent="0.25">
      <c r="B242" s="145" t="s">
        <v>664</v>
      </c>
      <c r="C242" s="139" t="s">
        <v>1330</v>
      </c>
      <c r="D242" s="50" t="str">
        <f>VLOOKUP("T.08.199",Translation,LanguageNo+1,FALSE)</f>
        <v>Latente Steuerverpflichtungen</v>
      </c>
      <c r="E242" s="349"/>
      <c r="F242" s="350"/>
      <c r="G242" s="344">
        <f t="shared" si="4"/>
        <v>0</v>
      </c>
      <c r="H242" s="369"/>
    </row>
    <row r="243" spans="2:16" ht="14.25" customHeight="1" x14ac:dyDescent="0.25">
      <c r="B243" s="145" t="s">
        <v>667</v>
      </c>
      <c r="C243" s="50" t="s">
        <v>181</v>
      </c>
      <c r="D243" s="50" t="str">
        <f>VLOOKUP("T.08.200",Translation,LanguageNo+1,FALSE)</f>
        <v>Sonstige Rechnungsabgrenzungsposten</v>
      </c>
      <c r="E243" s="131"/>
      <c r="F243" s="275"/>
      <c r="G243" s="100">
        <f t="shared" si="4"/>
        <v>0</v>
      </c>
      <c r="H243" s="370"/>
    </row>
    <row r="244" spans="2:16" ht="14.25" customHeight="1" x14ac:dyDescent="0.25">
      <c r="B244" s="94"/>
      <c r="C244" s="94"/>
      <c r="D244" s="158"/>
      <c r="E244" s="96"/>
      <c r="F244" s="96"/>
      <c r="G244" s="96"/>
      <c r="H244" s="371"/>
    </row>
    <row r="245" spans="2:16" ht="14.25" customHeight="1" x14ac:dyDescent="0.25">
      <c r="B245" s="145" t="s">
        <v>669</v>
      </c>
      <c r="C245" s="139" t="s">
        <v>1331</v>
      </c>
      <c r="D245" s="140" t="str">
        <f>VLOOKUP("T.08.201",Translation,LanguageNo+1,FALSE)</f>
        <v>2.10 Nachrangige Verbindlichkeiten</v>
      </c>
      <c r="E245" s="278">
        <f>SUM(E246:E250)</f>
        <v>0</v>
      </c>
      <c r="F245" s="278">
        <f>SUM(F246:F250)</f>
        <v>0</v>
      </c>
      <c r="G245" s="97">
        <f t="shared" si="4"/>
        <v>0</v>
      </c>
      <c r="H245" s="369">
        <f>IF($G$169=0,0,G245/$G$169)</f>
        <v>0</v>
      </c>
    </row>
    <row r="246" spans="2:16" ht="14.25" customHeight="1" x14ac:dyDescent="0.25">
      <c r="B246" s="145" t="s">
        <v>673</v>
      </c>
      <c r="C246" s="139" t="s">
        <v>1332</v>
      </c>
      <c r="D246" s="50" t="str">
        <f>VLOOKUP("T.08.202",Translation,LanguageNo+1,FALSE)</f>
        <v>Unbefristete Anleihen und Darlehen mit Eigenkapitalcharakter</v>
      </c>
      <c r="E246" s="85"/>
      <c r="F246" s="104"/>
      <c r="G246" s="100">
        <f t="shared" si="4"/>
        <v>0</v>
      </c>
      <c r="H246" s="370"/>
    </row>
    <row r="247" spans="2:16" ht="14.25" customHeight="1" x14ac:dyDescent="0.25">
      <c r="B247" s="307" t="s">
        <v>677</v>
      </c>
      <c r="C247" s="139" t="s">
        <v>1333</v>
      </c>
      <c r="D247" s="307" t="str">
        <f>VLOOKUP("T.08.203",Translation,LanguageNo+1,FALSE)</f>
        <v>Unbefristete sonstige Verbindlichkeiten mit Eigenkapitalcharakter</v>
      </c>
      <c r="E247" s="85"/>
      <c r="F247" s="104"/>
      <c r="G247" s="100">
        <f t="shared" si="4"/>
        <v>0</v>
      </c>
      <c r="H247" s="370"/>
    </row>
    <row r="248" spans="2:16" ht="14.25" customHeight="1" x14ac:dyDescent="0.25">
      <c r="B248" s="145" t="s">
        <v>681</v>
      </c>
      <c r="C248" s="139" t="s">
        <v>1334</v>
      </c>
      <c r="D248" s="307" t="str">
        <f>VLOOKUP("T.08.204",Translation,LanguageNo+1,FALSE)</f>
        <v>Anleihen, Darlehen und sonstige Verbindlichkeiten, die zwingend in Eigenkapital gewandelt werden müssen</v>
      </c>
      <c r="E248" s="85"/>
      <c r="F248" s="104"/>
      <c r="G248" s="100">
        <f t="shared" si="4"/>
        <v>0</v>
      </c>
      <c r="H248" s="370"/>
    </row>
    <row r="249" spans="2:16" ht="14.25" customHeight="1" x14ac:dyDescent="0.25">
      <c r="B249" s="145" t="s">
        <v>684</v>
      </c>
      <c r="C249" s="139" t="s">
        <v>1335</v>
      </c>
      <c r="D249" s="307" t="str">
        <f>VLOOKUP("T.08.205",Translation,LanguageNo+1,FALSE)</f>
        <v>Anleihen und Darlehen mit Eigenkapitalcharakter mit fester Laufzeit</v>
      </c>
      <c r="E249" s="85"/>
      <c r="F249" s="104"/>
      <c r="G249" s="100">
        <f t="shared" si="4"/>
        <v>0</v>
      </c>
      <c r="H249" s="370"/>
    </row>
    <row r="250" spans="2:16" ht="14.25" customHeight="1" x14ac:dyDescent="0.25">
      <c r="B250" s="145" t="s">
        <v>1392</v>
      </c>
      <c r="C250" s="139" t="s">
        <v>1336</v>
      </c>
      <c r="D250" s="307" t="str">
        <f>VLOOKUP("T.08.206",Translation,LanguageNo+1,FALSE)</f>
        <v>Sonstige Verbindlichkeiten mit Eigenkapitalcharakter mit fester Laufzeit</v>
      </c>
      <c r="E250" s="131"/>
      <c r="F250" s="275"/>
      <c r="G250" s="100">
        <f t="shared" si="4"/>
        <v>0</v>
      </c>
      <c r="H250" s="370"/>
      <c r="J250" s="377" t="str">
        <f>VLOOKUP("T.08.210",Translation,LanguageNo+1,FALSE)&amp;" " &amp;Unit &amp; SST_Currency</f>
        <v>Aufriss nach Währungen in Mio. CHF</v>
      </c>
      <c r="K250" s="377"/>
      <c r="L250" s="377"/>
      <c r="M250" s="103"/>
      <c r="N250" s="103"/>
      <c r="O250" s="103"/>
      <c r="P250" s="103"/>
    </row>
    <row r="251" spans="2:16" ht="14.25" customHeight="1" x14ac:dyDescent="0.25">
      <c r="B251" s="158"/>
      <c r="C251" s="102"/>
      <c r="D251" s="101"/>
      <c r="E251" s="96"/>
      <c r="F251" s="96"/>
      <c r="G251" s="96"/>
      <c r="H251" s="371"/>
      <c r="J251" s="105"/>
      <c r="K251" s="150" t="s">
        <v>17</v>
      </c>
      <c r="L251" s="150" t="s">
        <v>18</v>
      </c>
      <c r="M251" s="150" t="s">
        <v>20</v>
      </c>
      <c r="N251" s="150" t="s">
        <v>19</v>
      </c>
      <c r="O251" s="150" t="s">
        <v>25</v>
      </c>
      <c r="P251" s="150" t="s">
        <v>1025</v>
      </c>
    </row>
    <row r="252" spans="2:16" ht="14.25" customHeight="1" x14ac:dyDescent="0.25">
      <c r="B252" s="307" t="s">
        <v>1393</v>
      </c>
      <c r="C252" s="307" t="s">
        <v>1262</v>
      </c>
      <c r="D252" s="142" t="str">
        <f>VLOOKUP("T.08.207",Translation,LanguageNo+1,FALSE)</f>
        <v>Total Fremdkapital</v>
      </c>
      <c r="E252" s="278">
        <f>E173+E208+E216+E221+E223+E231+E233+E237+E241+E245</f>
        <v>0</v>
      </c>
      <c r="F252" s="278">
        <f>F173+F208+F216+F221+F223+F231+F233+F237+F241+F245</f>
        <v>0</v>
      </c>
      <c r="G252" s="97">
        <f t="shared" si="4"/>
        <v>0</v>
      </c>
      <c r="H252" s="369">
        <f>IF($G$169=0,0,G252/$G$169)</f>
        <v>0</v>
      </c>
      <c r="J252" s="152" t="str">
        <f>IF(ABS(G252-SUM(K252:P252))&lt;0.01,"OK","Korrektur")</f>
        <v>OK</v>
      </c>
      <c r="K252" s="54"/>
      <c r="L252" s="153"/>
      <c r="M252" s="153"/>
      <c r="N252" s="153"/>
      <c r="O252" s="153"/>
      <c r="P252" s="153"/>
    </row>
    <row r="253" spans="2:16" ht="14.25" customHeight="1" x14ac:dyDescent="0.25">
      <c r="B253" s="101"/>
      <c r="C253" s="101"/>
      <c r="D253" s="154"/>
      <c r="E253" s="96"/>
      <c r="F253" s="96"/>
      <c r="G253" s="96"/>
      <c r="H253" s="371"/>
    </row>
    <row r="254" spans="2:16" ht="14.25" customHeight="1" x14ac:dyDescent="0.25">
      <c r="B254" s="159" t="s">
        <v>1540</v>
      </c>
      <c r="C254" s="159"/>
      <c r="D254" s="160" t="str">
        <f>VLOOKUP("T.08.208",Translation,LanguageNo+1,FALSE)</f>
        <v>Differenz</v>
      </c>
      <c r="E254" s="286">
        <f>E169-E252</f>
        <v>0</v>
      </c>
      <c r="F254" s="286">
        <f>F169-F252</f>
        <v>0</v>
      </c>
      <c r="G254" s="161">
        <f t="shared" si="4"/>
        <v>0</v>
      </c>
      <c r="H254" s="372"/>
    </row>
    <row r="255" spans="2:16" x14ac:dyDescent="0.25">
      <c r="B255" s="239"/>
      <c r="C255" s="238"/>
    </row>
    <row r="256" spans="2:16" x14ac:dyDescent="0.25">
      <c r="B256" s="239"/>
      <c r="C256" s="239"/>
    </row>
    <row r="257" spans="2:3" x14ac:dyDescent="0.25">
      <c r="B257" s="239"/>
      <c r="C257" s="162"/>
    </row>
    <row r="258" spans="2:3" x14ac:dyDescent="0.25">
      <c r="B258" s="239"/>
      <c r="C258" s="162"/>
    </row>
    <row r="259" spans="2:3" x14ac:dyDescent="0.25">
      <c r="B259" s="239"/>
    </row>
    <row r="260" spans="2:3" x14ac:dyDescent="0.25">
      <c r="B260" s="239"/>
    </row>
    <row r="261" spans="2:3" x14ac:dyDescent="0.25">
      <c r="B261" s="239"/>
    </row>
    <row r="262" spans="2:3" x14ac:dyDescent="0.25">
      <c r="B262" s="239"/>
    </row>
    <row r="263" spans="2:3" x14ac:dyDescent="0.25">
      <c r="B263" s="239"/>
    </row>
    <row r="264" spans="2:3" x14ac:dyDescent="0.25">
      <c r="B264" s="239"/>
    </row>
    <row r="265" spans="2:3" x14ac:dyDescent="0.25">
      <c r="B265" s="239"/>
    </row>
    <row r="266" spans="2:3" x14ac:dyDescent="0.25">
      <c r="B266" s="239"/>
    </row>
    <row r="267" spans="2:3" x14ac:dyDescent="0.25">
      <c r="B267" s="239"/>
    </row>
    <row r="268" spans="2:3" x14ac:dyDescent="0.25">
      <c r="B268" s="239"/>
    </row>
    <row r="269" spans="2:3" x14ac:dyDescent="0.25">
      <c r="B269" s="239"/>
    </row>
    <row r="270" spans="2:3" x14ac:dyDescent="0.25">
      <c r="B270" s="239"/>
    </row>
    <row r="271" spans="2:3" x14ac:dyDescent="0.25">
      <c r="B271" s="239"/>
    </row>
    <row r="272" spans="2:3" x14ac:dyDescent="0.25">
      <c r="B272" s="239"/>
    </row>
    <row r="273" spans="2:2" x14ac:dyDescent="0.25">
      <c r="B273" s="239"/>
    </row>
    <row r="274" spans="2:2" x14ac:dyDescent="0.25">
      <c r="B274" s="239"/>
    </row>
    <row r="275" spans="2:2" x14ac:dyDescent="0.25">
      <c r="B275" s="239"/>
    </row>
    <row r="276" spans="2:2" x14ac:dyDescent="0.25">
      <c r="B276" s="239"/>
    </row>
    <row r="277" spans="2:2" x14ac:dyDescent="0.25">
      <c r="B277" s="239"/>
    </row>
    <row r="278" spans="2:2" x14ac:dyDescent="0.25">
      <c r="B278" s="239"/>
    </row>
    <row r="279" spans="2:2" x14ac:dyDescent="0.25">
      <c r="B279" s="239"/>
    </row>
    <row r="280" spans="2:2" x14ac:dyDescent="0.25">
      <c r="B280" s="239"/>
    </row>
    <row r="281" spans="2:2" x14ac:dyDescent="0.25">
      <c r="B281" s="239"/>
    </row>
    <row r="282" spans="2:2" x14ac:dyDescent="0.25">
      <c r="B282" s="239"/>
    </row>
    <row r="283" spans="2:2" x14ac:dyDescent="0.25">
      <c r="B283" s="239"/>
    </row>
    <row r="284" spans="2:2" x14ac:dyDescent="0.25">
      <c r="B284" s="239"/>
    </row>
    <row r="285" spans="2:2" x14ac:dyDescent="0.25">
      <c r="B285" s="239"/>
    </row>
    <row r="286" spans="2:2" x14ac:dyDescent="0.25">
      <c r="B286" s="239"/>
    </row>
    <row r="287" spans="2:2" x14ac:dyDescent="0.25">
      <c r="B287" s="239"/>
    </row>
    <row r="288" spans="2:2" x14ac:dyDescent="0.25">
      <c r="B288" s="239"/>
    </row>
    <row r="289" spans="2:2" x14ac:dyDescent="0.25">
      <c r="B289" s="239"/>
    </row>
    <row r="290" spans="2:2" x14ac:dyDescent="0.25">
      <c r="B290" s="239"/>
    </row>
    <row r="291" spans="2:2" x14ac:dyDescent="0.25">
      <c r="B291" s="239"/>
    </row>
    <row r="292" spans="2:2" x14ac:dyDescent="0.25">
      <c r="B292" s="239"/>
    </row>
    <row r="293" spans="2:2" x14ac:dyDescent="0.25">
      <c r="B293" s="239"/>
    </row>
    <row r="294" spans="2:2" x14ac:dyDescent="0.25">
      <c r="B294" s="239"/>
    </row>
    <row r="295" spans="2:2" x14ac:dyDescent="0.25">
      <c r="B295" s="239"/>
    </row>
    <row r="296" spans="2:2" x14ac:dyDescent="0.25">
      <c r="B296" s="239"/>
    </row>
    <row r="297" spans="2:2" x14ac:dyDescent="0.25">
      <c r="B297" s="239"/>
    </row>
  </sheetData>
  <mergeCells count="6">
    <mergeCell ref="N27:N28"/>
    <mergeCell ref="O27:O28"/>
    <mergeCell ref="J34:J35"/>
    <mergeCell ref="K27:K28"/>
    <mergeCell ref="L27:L28"/>
    <mergeCell ref="M27:M28"/>
  </mergeCells>
  <pageMargins left="0.70866141732283472" right="0.70866141732283472" top="0.78740157480314965" bottom="0.78740157480314965" header="0.31496062992125984" footer="0.31496062992125984"/>
  <pageSetup paperSize="8" scale="22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6">
    <tabColor rgb="FF00539E"/>
  </sheetPr>
  <dimension ref="A1:K155"/>
  <sheetViews>
    <sheetView showGridLines="0" zoomScale="90" zoomScaleNormal="90" workbookViewId="0"/>
  </sheetViews>
  <sheetFormatPr baseColWidth="10" defaultColWidth="8.85546875" defaultRowHeight="12.75" customHeight="1" x14ac:dyDescent="0.25"/>
  <cols>
    <col min="1" max="2" width="5.7109375" style="169" customWidth="1"/>
    <col min="3" max="3" width="10" style="169" customWidth="1"/>
    <col min="4" max="4" width="63.7109375" style="169" customWidth="1"/>
    <col min="5" max="11" width="18.7109375" style="169" customWidth="1"/>
    <col min="12" max="16384" width="8.85546875" style="169"/>
  </cols>
  <sheetData>
    <row r="1" spans="1:11" s="163" customFormat="1" ht="20.100000000000001" customHeight="1" x14ac:dyDescent="0.2">
      <c r="A1" s="8">
        <v>5</v>
      </c>
      <c r="B1" s="304" t="str">
        <f>IF(Language="DE", list_of_sheets!D11, IF(Language="FR", list_of_sheets!E11,list_of_sheets!F11))</f>
        <v>Anleitung für das Tabellenblatt 6</v>
      </c>
      <c r="D1" s="166"/>
      <c r="E1" s="166"/>
      <c r="F1" s="166"/>
      <c r="G1" s="166"/>
      <c r="H1" s="166"/>
      <c r="I1" s="166"/>
      <c r="J1" s="166"/>
      <c r="K1" s="166"/>
    </row>
    <row r="2" spans="1:11" s="163" customFormat="1" ht="14.25" customHeight="1" x14ac:dyDescent="0.2">
      <c r="B2" s="167"/>
      <c r="C2" s="165"/>
      <c r="D2" s="168"/>
      <c r="E2" s="168"/>
      <c r="F2" s="168"/>
      <c r="G2" s="168"/>
      <c r="H2" s="168"/>
      <c r="I2" s="168"/>
      <c r="J2" s="168"/>
      <c r="K2" s="165"/>
    </row>
    <row r="3" spans="1:11" ht="14.25" customHeight="1" x14ac:dyDescent="0.25"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14.25" customHeight="1" x14ac:dyDescent="0.25">
      <c r="B4" s="573" t="s">
        <v>1569</v>
      </c>
      <c r="C4" s="573"/>
      <c r="D4" s="573"/>
      <c r="E4" s="573"/>
      <c r="F4" s="573"/>
      <c r="G4" s="573"/>
      <c r="H4" s="573"/>
      <c r="I4" s="573"/>
      <c r="J4" s="573"/>
      <c r="K4" s="573"/>
    </row>
    <row r="5" spans="1:11" ht="14.25" customHeight="1" x14ac:dyDescent="0.25">
      <c r="B5" s="573" t="s">
        <v>1570</v>
      </c>
      <c r="C5" s="573"/>
      <c r="D5" s="573"/>
      <c r="E5" s="573"/>
      <c r="F5" s="573"/>
      <c r="G5" s="573"/>
      <c r="H5" s="573"/>
      <c r="I5" s="573"/>
      <c r="J5" s="573"/>
      <c r="K5" s="573"/>
    </row>
    <row r="6" spans="1:11" ht="14.25" customHeight="1" x14ac:dyDescent="0.25">
      <c r="B6" s="578" t="s">
        <v>1563</v>
      </c>
      <c r="C6" s="578"/>
      <c r="D6" s="578"/>
      <c r="E6" s="578"/>
      <c r="F6" s="578"/>
      <c r="G6" s="578"/>
      <c r="H6" s="578"/>
      <c r="I6" s="578"/>
      <c r="J6" s="578"/>
      <c r="K6" s="578"/>
    </row>
    <row r="7" spans="1:11" ht="14.25" customHeight="1" x14ac:dyDescent="0.25"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ht="14.25" customHeight="1" x14ac:dyDescent="0.25">
      <c r="B8" s="171" t="s">
        <v>688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1:11" ht="14.25" customHeight="1" x14ac:dyDescent="0.25">
      <c r="B9" s="173"/>
      <c r="C9" s="173"/>
      <c r="D9" s="173"/>
      <c r="E9" s="173"/>
      <c r="F9" s="173"/>
      <c r="G9" s="173"/>
      <c r="H9" s="173"/>
      <c r="I9" s="173"/>
      <c r="J9" s="173"/>
      <c r="K9" s="174"/>
    </row>
    <row r="10" spans="1:11" ht="14.25" customHeight="1" x14ac:dyDescent="0.25">
      <c r="B10" s="175"/>
      <c r="C10" s="175"/>
      <c r="D10" s="175"/>
      <c r="E10" s="175"/>
      <c r="F10" s="175"/>
      <c r="G10" s="175"/>
      <c r="H10" s="175"/>
      <c r="I10" s="175"/>
      <c r="J10" s="175"/>
      <c r="K10" s="176"/>
    </row>
    <row r="11" spans="1:11" ht="14.25" customHeight="1" x14ac:dyDescent="0.25">
      <c r="B11" s="574" t="s">
        <v>689</v>
      </c>
      <c r="C11" s="574"/>
      <c r="D11" s="574"/>
      <c r="E11" s="574"/>
      <c r="F11" s="574"/>
      <c r="G11" s="574"/>
      <c r="H11" s="574"/>
      <c r="I11" s="574"/>
      <c r="J11" s="574"/>
      <c r="K11" s="574"/>
    </row>
    <row r="12" spans="1:11" ht="14.25" customHeight="1" x14ac:dyDescent="0.25">
      <c r="B12" s="177" t="s">
        <v>690</v>
      </c>
      <c r="C12" s="177"/>
      <c r="D12" s="177"/>
      <c r="E12" s="177"/>
      <c r="F12" s="177"/>
      <c r="G12" s="177"/>
      <c r="H12" s="177"/>
      <c r="I12" s="177"/>
      <c r="J12" s="177"/>
      <c r="K12" s="177"/>
    </row>
    <row r="13" spans="1:11" ht="14.25" customHeight="1" x14ac:dyDescent="0.25"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spans="1:11" ht="14.25" customHeight="1" x14ac:dyDescent="0.25">
      <c r="B14" s="193" t="s">
        <v>1082</v>
      </c>
      <c r="C14" s="180"/>
      <c r="D14" s="177"/>
      <c r="E14" s="178" t="s">
        <v>691</v>
      </c>
      <c r="F14" s="178" t="s">
        <v>692</v>
      </c>
      <c r="G14" s="178" t="s">
        <v>693</v>
      </c>
      <c r="H14" s="178" t="s">
        <v>696</v>
      </c>
      <c r="I14" s="179"/>
      <c r="J14" s="179"/>
      <c r="K14" s="179"/>
    </row>
    <row r="15" spans="1:11" ht="14.25" customHeight="1" x14ac:dyDescent="0.25">
      <c r="B15" s="180">
        <v>136</v>
      </c>
      <c r="C15" s="182">
        <v>1</v>
      </c>
      <c r="D15" s="299" t="s">
        <v>447</v>
      </c>
      <c r="E15" s="186">
        <v>50000</v>
      </c>
      <c r="F15" s="187">
        <v>170</v>
      </c>
      <c r="G15" s="186">
        <v>40000</v>
      </c>
      <c r="H15" s="188">
        <f>E15-G15</f>
        <v>10000</v>
      </c>
      <c r="I15" s="181"/>
      <c r="J15" s="181"/>
      <c r="K15" s="181"/>
    </row>
    <row r="16" spans="1:11" ht="14.25" customHeight="1" x14ac:dyDescent="0.25">
      <c r="B16" s="180"/>
      <c r="C16" s="180"/>
      <c r="D16" s="190"/>
      <c r="E16" s="191"/>
      <c r="F16" s="191"/>
      <c r="G16" s="191"/>
      <c r="H16" s="191"/>
      <c r="I16" s="191"/>
      <c r="J16" s="191"/>
      <c r="K16" s="191"/>
    </row>
    <row r="17" spans="2:11" ht="14.25" customHeight="1" x14ac:dyDescent="0.25">
      <c r="B17" s="190"/>
      <c r="C17" s="180"/>
      <c r="D17" s="177"/>
      <c r="E17" s="192"/>
      <c r="F17" s="192"/>
      <c r="G17" s="192"/>
      <c r="H17" s="192"/>
      <c r="I17" s="192"/>
      <c r="J17" s="192"/>
      <c r="K17" s="192"/>
    </row>
    <row r="18" spans="2:11" ht="14.25" customHeight="1" x14ac:dyDescent="0.25">
      <c r="B18" s="193" t="s">
        <v>509</v>
      </c>
      <c r="C18" s="180"/>
      <c r="D18" s="177"/>
      <c r="E18" s="191"/>
      <c r="F18" s="191"/>
      <c r="G18" s="191"/>
      <c r="H18" s="191"/>
      <c r="I18" s="191"/>
      <c r="J18" s="191"/>
      <c r="K18" s="191"/>
    </row>
    <row r="19" spans="2:11" ht="14.25" customHeight="1" x14ac:dyDescent="0.25">
      <c r="B19" s="194"/>
      <c r="C19" s="575" t="s">
        <v>1090</v>
      </c>
      <c r="D19" s="576"/>
      <c r="E19" s="195">
        <f>SUM(E20:E21)</f>
        <v>1500000000</v>
      </c>
      <c r="F19" s="195"/>
      <c r="G19" s="195"/>
      <c r="H19" s="195">
        <f>SUM(H20:H21)</f>
        <v>1499960000</v>
      </c>
      <c r="I19" s="196"/>
      <c r="J19" s="196"/>
      <c r="K19" s="196"/>
    </row>
    <row r="20" spans="2:11" ht="14.25" customHeight="1" x14ac:dyDescent="0.25">
      <c r="B20" s="180">
        <v>170</v>
      </c>
      <c r="C20" s="182">
        <v>-1</v>
      </c>
      <c r="D20" s="185" t="s">
        <v>694</v>
      </c>
      <c r="E20" s="186">
        <v>1500000000</v>
      </c>
      <c r="F20" s="187">
        <v>136</v>
      </c>
      <c r="G20" s="186"/>
      <c r="H20" s="188">
        <f>E20-G15</f>
        <v>1499960000</v>
      </c>
      <c r="I20" s="183"/>
      <c r="J20" s="184"/>
      <c r="K20" s="183"/>
    </row>
    <row r="21" spans="2:11" ht="14.25" customHeight="1" x14ac:dyDescent="0.25">
      <c r="B21" s="180">
        <v>176</v>
      </c>
      <c r="C21" s="182">
        <v>-1</v>
      </c>
      <c r="D21" s="197" t="s">
        <v>1083</v>
      </c>
      <c r="E21" s="186"/>
      <c r="F21" s="189"/>
      <c r="G21" s="186"/>
      <c r="H21" s="188">
        <v>0</v>
      </c>
      <c r="I21" s="183"/>
      <c r="J21" s="184"/>
      <c r="K21" s="183"/>
    </row>
    <row r="23" spans="2:11" ht="14.25" customHeight="1" x14ac:dyDescent="0.25">
      <c r="B23" s="198"/>
      <c r="C23" s="198"/>
      <c r="D23" s="198"/>
      <c r="E23" s="198"/>
      <c r="F23" s="198"/>
      <c r="G23" s="198"/>
      <c r="H23" s="198"/>
      <c r="I23" s="198"/>
      <c r="J23" s="198"/>
      <c r="K23" s="198"/>
    </row>
    <row r="24" spans="2:11" ht="14.25" customHeight="1" x14ac:dyDescent="0.25">
      <c r="B24" s="173"/>
      <c r="C24" s="173"/>
      <c r="D24" s="173"/>
      <c r="E24" s="173"/>
      <c r="F24" s="173"/>
      <c r="G24" s="173"/>
      <c r="H24" s="173"/>
      <c r="I24" s="173"/>
      <c r="J24" s="173"/>
      <c r="K24" s="174"/>
    </row>
    <row r="25" spans="2:11" ht="14.25" customHeight="1" x14ac:dyDescent="0.25">
      <c r="B25" s="175"/>
      <c r="C25" s="175"/>
      <c r="D25" s="175"/>
      <c r="E25" s="175"/>
      <c r="F25" s="175"/>
      <c r="G25" s="175"/>
      <c r="H25" s="175"/>
      <c r="I25" s="175"/>
      <c r="J25" s="175"/>
      <c r="K25" s="176"/>
    </row>
    <row r="26" spans="2:11" ht="14.25" customHeight="1" x14ac:dyDescent="0.25">
      <c r="B26" s="574" t="s">
        <v>695</v>
      </c>
      <c r="C26" s="574"/>
      <c r="D26" s="574"/>
      <c r="E26" s="574"/>
      <c r="F26" s="574"/>
      <c r="G26" s="574"/>
      <c r="H26" s="574"/>
      <c r="I26" s="574"/>
      <c r="J26" s="574"/>
      <c r="K26" s="574"/>
    </row>
    <row r="27" spans="2:11" ht="14.25" customHeight="1" x14ac:dyDescent="0.25">
      <c r="B27" s="177" t="s">
        <v>1085</v>
      </c>
      <c r="C27" s="177"/>
      <c r="D27" s="177"/>
      <c r="E27" s="177"/>
      <c r="F27" s="177"/>
      <c r="G27" s="177"/>
      <c r="H27" s="177"/>
      <c r="I27" s="177"/>
      <c r="J27" s="177"/>
      <c r="K27" s="177"/>
    </row>
    <row r="28" spans="2:11" ht="14.25" customHeight="1" x14ac:dyDescent="0.25">
      <c r="B28" s="177"/>
      <c r="C28" s="177"/>
      <c r="D28" s="177"/>
      <c r="E28" s="177"/>
      <c r="F28" s="177"/>
      <c r="G28" s="177"/>
      <c r="H28" s="177"/>
      <c r="I28" s="177"/>
      <c r="J28" s="177"/>
      <c r="K28" s="177"/>
    </row>
    <row r="29" spans="2:11" ht="14.25" customHeight="1" x14ac:dyDescent="0.25">
      <c r="B29" s="177"/>
      <c r="C29" s="177"/>
      <c r="D29" s="177"/>
      <c r="E29" s="178" t="s">
        <v>691</v>
      </c>
      <c r="F29" s="178" t="s">
        <v>692</v>
      </c>
      <c r="G29" s="178" t="s">
        <v>693</v>
      </c>
      <c r="H29" s="178" t="s">
        <v>696</v>
      </c>
      <c r="I29" s="178" t="s">
        <v>697</v>
      </c>
      <c r="J29" s="178" t="s">
        <v>698</v>
      </c>
      <c r="K29" s="178" t="s">
        <v>1086</v>
      </c>
    </row>
    <row r="30" spans="2:11" ht="14.25" customHeight="1" x14ac:dyDescent="0.25">
      <c r="B30" s="180"/>
      <c r="C30" s="579" t="s">
        <v>699</v>
      </c>
      <c r="D30" s="576"/>
      <c r="E30" s="199">
        <f>SUM(E31:E35)</f>
        <v>100000</v>
      </c>
      <c r="F30" s="199"/>
      <c r="G30" s="199"/>
      <c r="H30" s="199">
        <f>SUM(H31:H35)</f>
        <v>100000</v>
      </c>
      <c r="I30" s="199"/>
      <c r="J30" s="199">
        <f>SUM(J31:J35)</f>
        <v>0</v>
      </c>
      <c r="K30" s="199">
        <f>SUM(K31:K35)</f>
        <v>100000</v>
      </c>
    </row>
    <row r="31" spans="2:11" ht="14.25" customHeight="1" x14ac:dyDescent="0.25">
      <c r="B31" s="180">
        <v>58</v>
      </c>
      <c r="C31" s="182">
        <v>1</v>
      </c>
      <c r="D31" s="185" t="s">
        <v>126</v>
      </c>
      <c r="E31" s="186">
        <v>100000</v>
      </c>
      <c r="F31" s="189"/>
      <c r="G31" s="186"/>
      <c r="H31" s="188">
        <v>100000</v>
      </c>
      <c r="I31" s="188"/>
      <c r="J31" s="200">
        <v>-65000</v>
      </c>
      <c r="K31" s="201">
        <f>$H31+$J31</f>
        <v>35000</v>
      </c>
    </row>
    <row r="32" spans="2:11" ht="14.25" customHeight="1" x14ac:dyDescent="0.25">
      <c r="B32" s="180">
        <v>59</v>
      </c>
      <c r="C32" s="182">
        <v>1</v>
      </c>
      <c r="D32" s="185" t="s">
        <v>127</v>
      </c>
      <c r="E32" s="186"/>
      <c r="F32" s="189"/>
      <c r="G32" s="186"/>
      <c r="H32" s="188">
        <v>0</v>
      </c>
      <c r="I32" s="188"/>
      <c r="J32" s="200">
        <v>20000</v>
      </c>
      <c r="K32" s="201">
        <f>$H32+$J32</f>
        <v>20000</v>
      </c>
    </row>
    <row r="33" spans="2:11" ht="14.25" customHeight="1" x14ac:dyDescent="0.25">
      <c r="B33" s="180">
        <v>60</v>
      </c>
      <c r="C33" s="182">
        <v>1</v>
      </c>
      <c r="D33" s="185" t="s">
        <v>128</v>
      </c>
      <c r="E33" s="186"/>
      <c r="F33" s="189"/>
      <c r="G33" s="186"/>
      <c r="H33" s="188">
        <v>0</v>
      </c>
      <c r="I33" s="188"/>
      <c r="J33" s="200">
        <v>30000</v>
      </c>
      <c r="K33" s="201">
        <f>$H33+$J33</f>
        <v>30000</v>
      </c>
    </row>
    <row r="34" spans="2:11" ht="14.25" customHeight="1" x14ac:dyDescent="0.25">
      <c r="B34" s="180">
        <v>61</v>
      </c>
      <c r="C34" s="182">
        <v>1</v>
      </c>
      <c r="D34" s="185" t="s">
        <v>1084</v>
      </c>
      <c r="E34" s="186"/>
      <c r="F34" s="189"/>
      <c r="G34" s="186"/>
      <c r="H34" s="188">
        <v>0</v>
      </c>
      <c r="I34" s="188"/>
      <c r="J34" s="200">
        <v>5000</v>
      </c>
      <c r="K34" s="201">
        <f>$H34+$J34</f>
        <v>5000</v>
      </c>
    </row>
    <row r="35" spans="2:11" ht="14.25" customHeight="1" x14ac:dyDescent="0.25">
      <c r="B35" s="180">
        <v>62</v>
      </c>
      <c r="C35" s="182">
        <v>1</v>
      </c>
      <c r="D35" s="185" t="s">
        <v>130</v>
      </c>
      <c r="E35" s="186"/>
      <c r="F35" s="189"/>
      <c r="G35" s="186"/>
      <c r="H35" s="188">
        <v>0</v>
      </c>
      <c r="I35" s="188"/>
      <c r="J35" s="200">
        <v>10000</v>
      </c>
      <c r="K35" s="201">
        <f>$H35+$J35</f>
        <v>10000</v>
      </c>
    </row>
    <row r="36" spans="2:11" ht="14.25" customHeight="1" x14ac:dyDescent="0.25">
      <c r="B36" s="198"/>
      <c r="C36" s="198"/>
      <c r="D36" s="198"/>
      <c r="E36" s="198"/>
      <c r="F36" s="198"/>
      <c r="G36" s="198"/>
      <c r="H36" s="198"/>
      <c r="I36" s="198"/>
      <c r="J36" s="198"/>
      <c r="K36" s="198"/>
    </row>
    <row r="37" spans="2:11" ht="14.25" customHeight="1" x14ac:dyDescent="0.25"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2:11" ht="14.25" customHeight="1" x14ac:dyDescent="0.25">
      <c r="B38" s="580"/>
      <c r="C38" s="580"/>
      <c r="D38" s="170"/>
      <c r="E38" s="170"/>
      <c r="F38" s="170"/>
      <c r="G38" s="170"/>
      <c r="H38" s="170"/>
      <c r="I38" s="170"/>
      <c r="J38" s="170"/>
      <c r="K38" s="171"/>
    </row>
    <row r="39" spans="2:11" ht="14.25" customHeight="1" x14ac:dyDescent="0.25">
      <c r="B39" s="577" t="s">
        <v>700</v>
      </c>
      <c r="C39" s="577"/>
      <c r="D39" s="578" t="s">
        <v>701</v>
      </c>
      <c r="E39" s="578"/>
      <c r="F39" s="578"/>
      <c r="G39" s="578"/>
      <c r="H39" s="578"/>
      <c r="I39" s="578"/>
      <c r="J39" s="578"/>
      <c r="K39" s="578"/>
    </row>
    <row r="40" spans="2:11" ht="14.25" customHeight="1" x14ac:dyDescent="0.25">
      <c r="B40" s="577" t="s">
        <v>702</v>
      </c>
      <c r="C40" s="577"/>
      <c r="D40" s="578" t="s">
        <v>703</v>
      </c>
      <c r="E40" s="578"/>
      <c r="F40" s="578"/>
      <c r="G40" s="578"/>
      <c r="H40" s="578"/>
      <c r="I40" s="578"/>
      <c r="J40" s="578"/>
      <c r="K40" s="578"/>
    </row>
    <row r="41" spans="2:11" ht="14.25" customHeight="1" x14ac:dyDescent="0.25">
      <c r="B41" s="577" t="s">
        <v>704</v>
      </c>
      <c r="C41" s="577"/>
      <c r="D41" s="578" t="s">
        <v>705</v>
      </c>
      <c r="E41" s="578"/>
      <c r="F41" s="578"/>
      <c r="G41" s="578"/>
      <c r="H41" s="578"/>
      <c r="I41" s="578"/>
      <c r="J41" s="578"/>
      <c r="K41" s="578"/>
    </row>
    <row r="42" spans="2:11" ht="14.25" customHeight="1" x14ac:dyDescent="0.25">
      <c r="B42" s="577" t="s">
        <v>706</v>
      </c>
      <c r="C42" s="577"/>
      <c r="D42" s="578" t="s">
        <v>1092</v>
      </c>
      <c r="E42" s="578"/>
      <c r="F42" s="578"/>
      <c r="G42" s="578"/>
      <c r="H42" s="578"/>
      <c r="I42" s="578"/>
      <c r="J42" s="578"/>
      <c r="K42" s="578"/>
    </row>
    <row r="43" spans="2:11" ht="14.25" customHeight="1" x14ac:dyDescent="0.25">
      <c r="B43" s="577" t="s">
        <v>707</v>
      </c>
      <c r="C43" s="577"/>
      <c r="D43" s="578" t="s">
        <v>708</v>
      </c>
      <c r="E43" s="578"/>
      <c r="F43" s="578"/>
      <c r="G43" s="578"/>
      <c r="H43" s="578"/>
      <c r="I43" s="578"/>
      <c r="J43" s="578"/>
      <c r="K43" s="578"/>
    </row>
    <row r="44" spans="2:11" ht="14.25" customHeight="1" x14ac:dyDescent="0.25">
      <c r="B44" s="202"/>
      <c r="C44" s="202"/>
      <c r="D44" s="578"/>
      <c r="E44" s="578"/>
      <c r="F44" s="578"/>
      <c r="G44" s="578"/>
      <c r="H44" s="578"/>
      <c r="I44" s="578"/>
      <c r="J44" s="578"/>
      <c r="K44" s="578"/>
    </row>
    <row r="45" spans="2:11" ht="14.25" customHeight="1" x14ac:dyDescent="0.25">
      <c r="B45" s="173"/>
      <c r="C45" s="173"/>
      <c r="D45" s="174"/>
      <c r="E45" s="174"/>
      <c r="F45" s="174"/>
      <c r="G45" s="174"/>
      <c r="H45" s="174"/>
      <c r="I45" s="174"/>
      <c r="J45" s="174"/>
      <c r="K45" s="174"/>
    </row>
    <row r="46" spans="2:11" ht="14.25" customHeight="1" x14ac:dyDescent="0.25">
      <c r="B46" s="203" t="s">
        <v>709</v>
      </c>
      <c r="C46" s="204"/>
      <c r="D46" s="205"/>
      <c r="E46" s="174"/>
      <c r="F46" s="174"/>
      <c r="G46" s="174"/>
      <c r="H46" s="174"/>
      <c r="I46" s="174"/>
      <c r="J46" s="174"/>
      <c r="K46" s="174"/>
    </row>
    <row r="47" spans="2:11" ht="14.25" customHeight="1" x14ac:dyDescent="0.25">
      <c r="B47" s="206" t="s">
        <v>704</v>
      </c>
      <c r="C47" s="204"/>
      <c r="D47" s="205"/>
      <c r="E47" s="174"/>
      <c r="F47" s="174"/>
      <c r="G47" s="174"/>
      <c r="H47" s="174"/>
      <c r="I47" s="174"/>
      <c r="J47" s="174"/>
      <c r="K47" s="174"/>
    </row>
    <row r="48" spans="2:11" ht="14.25" customHeight="1" x14ac:dyDescent="0.25">
      <c r="B48" s="204"/>
      <c r="C48" s="204" t="s">
        <v>710</v>
      </c>
      <c r="D48" s="205" t="s">
        <v>711</v>
      </c>
      <c r="E48" s="174"/>
      <c r="F48" s="174"/>
      <c r="G48" s="174"/>
      <c r="H48" s="174"/>
      <c r="I48" s="174"/>
      <c r="J48" s="174"/>
      <c r="K48" s="174"/>
    </row>
    <row r="49" spans="2:11" ht="14.25" customHeight="1" x14ac:dyDescent="0.25">
      <c r="B49" s="204"/>
      <c r="C49" s="204" t="s">
        <v>712</v>
      </c>
      <c r="D49" s="205" t="s">
        <v>713</v>
      </c>
      <c r="E49" s="174"/>
      <c r="F49" s="174"/>
      <c r="G49" s="174"/>
      <c r="H49" s="174"/>
      <c r="I49" s="174"/>
      <c r="J49" s="174"/>
      <c r="K49" s="174"/>
    </row>
    <row r="50" spans="2:11" ht="14.25" customHeight="1" x14ac:dyDescent="0.25">
      <c r="B50" s="206" t="s">
        <v>707</v>
      </c>
      <c r="C50" s="204"/>
      <c r="D50" s="205"/>
      <c r="E50" s="174"/>
      <c r="F50" s="174"/>
      <c r="G50" s="174"/>
      <c r="H50" s="174"/>
      <c r="I50" s="174"/>
      <c r="J50" s="174"/>
      <c r="K50" s="174"/>
    </row>
    <row r="51" spans="2:11" ht="14.25" customHeight="1" x14ac:dyDescent="0.25">
      <c r="B51" s="204"/>
      <c r="C51" s="204" t="s">
        <v>714</v>
      </c>
      <c r="D51" s="205" t="s">
        <v>715</v>
      </c>
      <c r="E51" s="174"/>
      <c r="F51" s="174"/>
      <c r="G51" s="174"/>
      <c r="H51" s="174"/>
      <c r="I51" s="174"/>
      <c r="J51" s="174"/>
      <c r="K51" s="174"/>
    </row>
    <row r="52" spans="2:11" s="308" customFormat="1" ht="14.25" customHeight="1" x14ac:dyDescent="0.25">
      <c r="B52" s="204"/>
      <c r="C52" s="204"/>
      <c r="D52" s="205"/>
      <c r="E52" s="309"/>
      <c r="F52" s="309"/>
      <c r="G52" s="309"/>
      <c r="H52" s="309"/>
      <c r="I52" s="309"/>
      <c r="J52" s="309"/>
      <c r="K52" s="309"/>
    </row>
    <row r="53" spans="2:11" ht="12.75" customHeight="1" x14ac:dyDescent="0.25">
      <c r="B53" s="202"/>
      <c r="C53" s="202"/>
      <c r="D53" s="174"/>
      <c r="E53" s="174"/>
      <c r="F53" s="174"/>
      <c r="G53" s="174"/>
      <c r="H53" s="174"/>
      <c r="I53" s="174"/>
      <c r="J53" s="174"/>
      <c r="K53" s="174"/>
    </row>
    <row r="54" spans="2:11" ht="12.75" customHeight="1" x14ac:dyDescent="0.25">
      <c r="B54" s="202"/>
      <c r="C54" s="202"/>
      <c r="D54" s="288"/>
      <c r="E54" s="288"/>
      <c r="F54" s="288"/>
      <c r="G54" s="288"/>
      <c r="H54" s="288"/>
      <c r="I54" s="288"/>
      <c r="J54" s="288"/>
      <c r="K54" s="288"/>
    </row>
    <row r="55" spans="2:11" ht="20.100000000000001" customHeight="1" x14ac:dyDescent="0.25">
      <c r="B55" s="9" t="s">
        <v>1030</v>
      </c>
      <c r="C55" s="171"/>
      <c r="D55" s="171"/>
      <c r="E55" s="171"/>
      <c r="F55" s="171"/>
      <c r="G55" s="171"/>
      <c r="H55" s="171"/>
      <c r="I55" s="171"/>
      <c r="J55" s="171"/>
      <c r="K55" s="171"/>
    </row>
    <row r="56" spans="2:11" ht="12.75" customHeight="1" x14ac:dyDescent="0.25">
      <c r="B56" s="9"/>
      <c r="C56" s="171"/>
      <c r="D56" s="171"/>
      <c r="E56" s="171"/>
      <c r="F56" s="171"/>
      <c r="G56" s="171"/>
      <c r="H56" s="171"/>
      <c r="I56" s="171"/>
      <c r="J56" s="171"/>
      <c r="K56" s="171"/>
    </row>
    <row r="57" spans="2:11" ht="12.75" customHeight="1" x14ac:dyDescent="0.25">
      <c r="B57" s="573" t="s">
        <v>1571</v>
      </c>
      <c r="C57" s="573"/>
      <c r="D57" s="573"/>
      <c r="E57" s="573"/>
      <c r="F57" s="573"/>
      <c r="G57" s="573"/>
      <c r="H57" s="573"/>
      <c r="I57" s="573"/>
      <c r="J57" s="573"/>
      <c r="K57" s="573"/>
    </row>
    <row r="58" spans="2:11" ht="12.75" customHeight="1" x14ac:dyDescent="0.25">
      <c r="B58" s="573" t="s">
        <v>1572</v>
      </c>
      <c r="C58" s="573"/>
      <c r="D58" s="573"/>
      <c r="E58" s="573"/>
      <c r="F58" s="573"/>
      <c r="G58" s="573"/>
      <c r="H58" s="573"/>
      <c r="I58" s="573"/>
      <c r="J58" s="573"/>
      <c r="K58" s="573"/>
    </row>
    <row r="59" spans="2:11" ht="12.75" customHeight="1" x14ac:dyDescent="0.25">
      <c r="B59" s="578" t="s">
        <v>1564</v>
      </c>
      <c r="C59" s="578"/>
      <c r="D59" s="578"/>
      <c r="E59" s="578"/>
      <c r="F59" s="578"/>
      <c r="G59" s="578"/>
      <c r="H59" s="578"/>
      <c r="I59" s="578"/>
      <c r="J59" s="578"/>
      <c r="K59" s="578"/>
    </row>
    <row r="60" spans="2:11" ht="12.75" customHeight="1" x14ac:dyDescent="0.25">
      <c r="B60" s="172"/>
      <c r="C60" s="172"/>
      <c r="D60" s="172"/>
      <c r="E60" s="172"/>
      <c r="F60" s="172"/>
      <c r="G60" s="172"/>
      <c r="H60" s="172"/>
      <c r="I60" s="172"/>
      <c r="J60" s="172"/>
      <c r="K60" s="172"/>
    </row>
    <row r="61" spans="2:11" ht="12.75" customHeight="1" x14ac:dyDescent="0.25">
      <c r="B61" s="171" t="s">
        <v>1060</v>
      </c>
      <c r="C61" s="171"/>
      <c r="D61" s="171"/>
      <c r="E61" s="171"/>
      <c r="F61" s="171"/>
      <c r="G61" s="171"/>
      <c r="H61" s="171"/>
      <c r="I61" s="171"/>
      <c r="J61" s="171"/>
      <c r="K61" s="171"/>
    </row>
    <row r="62" spans="2:11" ht="12.75" customHeight="1" x14ac:dyDescent="0.25">
      <c r="B62" s="296"/>
      <c r="C62" s="296"/>
      <c r="D62" s="296"/>
      <c r="E62" s="296"/>
      <c r="F62" s="296"/>
      <c r="G62" s="296"/>
      <c r="H62" s="296"/>
      <c r="I62" s="296"/>
      <c r="J62" s="296"/>
      <c r="K62" s="297"/>
    </row>
    <row r="63" spans="2:11" ht="12.75" customHeight="1" x14ac:dyDescent="0.25">
      <c r="B63" s="175"/>
      <c r="C63" s="175"/>
      <c r="D63" s="175"/>
      <c r="E63" s="175"/>
      <c r="F63" s="175"/>
      <c r="G63" s="175"/>
      <c r="H63" s="175"/>
      <c r="I63" s="175"/>
      <c r="J63" s="175"/>
      <c r="K63" s="176"/>
    </row>
    <row r="64" spans="2:11" ht="12.75" customHeight="1" x14ac:dyDescent="0.25">
      <c r="B64" s="574" t="s">
        <v>1061</v>
      </c>
      <c r="C64" s="574"/>
      <c r="D64" s="574"/>
      <c r="E64" s="574"/>
      <c r="F64" s="574"/>
      <c r="G64" s="574"/>
      <c r="H64" s="574"/>
      <c r="I64" s="574"/>
      <c r="J64" s="574"/>
      <c r="K64" s="574"/>
    </row>
    <row r="65" spans="2:11" ht="12.75" customHeight="1" x14ac:dyDescent="0.25">
      <c r="B65" s="177" t="s">
        <v>1062</v>
      </c>
      <c r="C65" s="177"/>
      <c r="D65" s="177"/>
      <c r="E65" s="177"/>
      <c r="F65" s="177"/>
      <c r="G65" s="177"/>
      <c r="H65" s="177"/>
      <c r="I65" s="177"/>
      <c r="J65" s="177"/>
      <c r="K65" s="177"/>
    </row>
    <row r="66" spans="2:11" ht="12.75" customHeight="1" x14ac:dyDescent="0.25">
      <c r="B66" s="177"/>
      <c r="C66" s="177"/>
      <c r="D66" s="177"/>
      <c r="E66" s="177"/>
      <c r="F66" s="177"/>
      <c r="G66" s="177"/>
      <c r="H66" s="177"/>
      <c r="I66" s="177"/>
      <c r="J66" s="177"/>
      <c r="K66" s="177"/>
    </row>
    <row r="67" spans="2:11" ht="12.75" customHeight="1" x14ac:dyDescent="0.25">
      <c r="B67" s="300" t="s">
        <v>1087</v>
      </c>
      <c r="C67" s="301"/>
      <c r="D67" s="177"/>
      <c r="E67" s="178" t="s">
        <v>691</v>
      </c>
      <c r="F67" s="178" t="s">
        <v>692</v>
      </c>
      <c r="G67" s="178" t="s">
        <v>693</v>
      </c>
      <c r="H67" s="178" t="s">
        <v>696</v>
      </c>
      <c r="I67" s="179"/>
      <c r="J67" s="179"/>
      <c r="K67" s="179"/>
    </row>
    <row r="68" spans="2:11" ht="12.75" customHeight="1" x14ac:dyDescent="0.25">
      <c r="B68" s="180">
        <v>136</v>
      </c>
      <c r="C68" s="182">
        <v>1</v>
      </c>
      <c r="D68" s="299" t="s">
        <v>448</v>
      </c>
      <c r="E68" s="186">
        <v>50000</v>
      </c>
      <c r="F68" s="187">
        <v>170</v>
      </c>
      <c r="G68" s="186">
        <v>40000</v>
      </c>
      <c r="H68" s="188">
        <f>E68-G68</f>
        <v>10000</v>
      </c>
      <c r="I68" s="181"/>
      <c r="J68" s="181"/>
      <c r="K68" s="181"/>
    </row>
    <row r="69" spans="2:11" ht="12.75" customHeight="1" x14ac:dyDescent="0.25">
      <c r="B69" s="180"/>
      <c r="C69" s="180"/>
      <c r="D69" s="190"/>
      <c r="E69" s="191"/>
      <c r="F69" s="191"/>
      <c r="G69" s="191"/>
      <c r="H69" s="191"/>
      <c r="I69" s="191"/>
      <c r="J69" s="191"/>
      <c r="K69" s="191"/>
    </row>
    <row r="70" spans="2:11" ht="12.75" customHeight="1" x14ac:dyDescent="0.25">
      <c r="B70" s="190"/>
      <c r="C70" s="180"/>
      <c r="D70" s="177"/>
      <c r="E70" s="192"/>
      <c r="F70" s="192"/>
      <c r="G70" s="192"/>
      <c r="H70" s="192"/>
      <c r="I70" s="192"/>
      <c r="J70" s="192"/>
      <c r="K70" s="192"/>
    </row>
    <row r="71" spans="2:11" ht="12.75" customHeight="1" x14ac:dyDescent="0.25">
      <c r="B71" s="193" t="s">
        <v>510</v>
      </c>
      <c r="C71" s="180"/>
      <c r="D71" s="177"/>
      <c r="E71" s="191"/>
      <c r="F71" s="191"/>
      <c r="G71" s="191"/>
      <c r="H71" s="191"/>
      <c r="I71" s="191"/>
      <c r="J71" s="191"/>
      <c r="K71" s="191"/>
    </row>
    <row r="72" spans="2:11" ht="12.75" customHeight="1" x14ac:dyDescent="0.25">
      <c r="B72" s="194"/>
      <c r="C72" s="575" t="s">
        <v>1089</v>
      </c>
      <c r="D72" s="576"/>
      <c r="E72" s="195">
        <f>SUM(E73:E74)</f>
        <v>1500000000</v>
      </c>
      <c r="F72" s="195"/>
      <c r="G72" s="195"/>
      <c r="H72" s="195">
        <f>SUM(H73:H74)</f>
        <v>1499960000</v>
      </c>
      <c r="I72" s="196"/>
      <c r="J72" s="196"/>
      <c r="K72" s="196"/>
    </row>
    <row r="73" spans="2:11" ht="12.75" customHeight="1" x14ac:dyDescent="0.25">
      <c r="B73" s="180">
        <v>170</v>
      </c>
      <c r="C73" s="182">
        <v>-1</v>
      </c>
      <c r="D73" s="185" t="s">
        <v>1063</v>
      </c>
      <c r="E73" s="186">
        <v>1500000000</v>
      </c>
      <c r="F73" s="187">
        <v>136</v>
      </c>
      <c r="G73" s="186"/>
      <c r="H73" s="188">
        <f>E73-G68</f>
        <v>1499960000</v>
      </c>
      <c r="I73" s="183"/>
      <c r="J73" s="184"/>
      <c r="K73" s="183"/>
    </row>
    <row r="74" spans="2:11" ht="12.75" customHeight="1" x14ac:dyDescent="0.25">
      <c r="B74" s="180">
        <v>176</v>
      </c>
      <c r="C74" s="182">
        <v>-1</v>
      </c>
      <c r="D74" s="197" t="s">
        <v>1088</v>
      </c>
      <c r="E74" s="186"/>
      <c r="F74" s="189"/>
      <c r="G74" s="186"/>
      <c r="H74" s="188">
        <v>0</v>
      </c>
      <c r="I74" s="183"/>
      <c r="J74" s="184"/>
      <c r="K74" s="183"/>
    </row>
    <row r="75" spans="2:11" ht="12.75" customHeight="1" x14ac:dyDescent="0.25">
      <c r="B75" s="198"/>
      <c r="C75" s="198"/>
      <c r="D75" s="198"/>
      <c r="E75" s="198"/>
      <c r="F75" s="198"/>
      <c r="G75" s="198"/>
      <c r="H75" s="198"/>
      <c r="I75" s="198"/>
      <c r="J75" s="198"/>
      <c r="K75" s="198"/>
    </row>
    <row r="76" spans="2:11" ht="12.75" customHeight="1" x14ac:dyDescent="0.25">
      <c r="B76" s="296"/>
      <c r="C76" s="296"/>
      <c r="D76" s="296"/>
      <c r="E76" s="296"/>
      <c r="F76" s="296"/>
      <c r="G76" s="296"/>
      <c r="H76" s="296"/>
      <c r="I76" s="296"/>
      <c r="J76" s="296"/>
      <c r="K76" s="297"/>
    </row>
    <row r="77" spans="2:11" ht="12.75" customHeight="1" x14ac:dyDescent="0.25">
      <c r="B77" s="175"/>
      <c r="C77" s="175"/>
      <c r="D77" s="175"/>
      <c r="E77" s="175"/>
      <c r="F77" s="175"/>
      <c r="G77" s="175"/>
      <c r="H77" s="175"/>
      <c r="I77" s="175"/>
      <c r="J77" s="175"/>
      <c r="K77" s="176"/>
    </row>
    <row r="78" spans="2:11" ht="12.75" customHeight="1" x14ac:dyDescent="0.25">
      <c r="B78" s="574" t="s">
        <v>1064</v>
      </c>
      <c r="C78" s="574"/>
      <c r="D78" s="574"/>
      <c r="E78" s="574"/>
      <c r="F78" s="574"/>
      <c r="G78" s="574"/>
      <c r="H78" s="574"/>
      <c r="I78" s="574"/>
      <c r="J78" s="574"/>
      <c r="K78" s="574"/>
    </row>
    <row r="79" spans="2:11" ht="12.75" customHeight="1" x14ac:dyDescent="0.25">
      <c r="B79" s="177" t="s">
        <v>1091</v>
      </c>
      <c r="C79" s="177"/>
      <c r="D79" s="177"/>
      <c r="E79" s="177"/>
      <c r="F79" s="177"/>
      <c r="G79" s="177"/>
      <c r="H79" s="177"/>
      <c r="I79" s="177"/>
      <c r="J79" s="177"/>
      <c r="K79" s="177"/>
    </row>
    <row r="80" spans="2:11" ht="12.75" customHeight="1" x14ac:dyDescent="0.25">
      <c r="B80" s="177"/>
      <c r="C80" s="177"/>
      <c r="D80" s="177"/>
      <c r="E80" s="177"/>
      <c r="F80" s="177"/>
      <c r="G80" s="177"/>
      <c r="H80" s="177"/>
      <c r="I80" s="177"/>
      <c r="J80" s="177"/>
      <c r="K80" s="177"/>
    </row>
    <row r="81" spans="2:11" ht="12.75" customHeight="1" x14ac:dyDescent="0.25">
      <c r="B81" s="177"/>
      <c r="C81" s="177"/>
      <c r="D81" s="177"/>
      <c r="E81" s="178" t="s">
        <v>691</v>
      </c>
      <c r="F81" s="178" t="s">
        <v>692</v>
      </c>
      <c r="G81" s="178" t="s">
        <v>693</v>
      </c>
      <c r="H81" s="178" t="s">
        <v>696</v>
      </c>
      <c r="I81" s="178" t="s">
        <v>697</v>
      </c>
      <c r="J81" s="178" t="s">
        <v>698</v>
      </c>
      <c r="K81" s="178" t="s">
        <v>1086</v>
      </c>
    </row>
    <row r="82" spans="2:11" ht="12.75" customHeight="1" x14ac:dyDescent="0.25">
      <c r="B82" s="180"/>
      <c r="C82" s="579" t="s">
        <v>1065</v>
      </c>
      <c r="D82" s="576"/>
      <c r="E82" s="199">
        <f>SUM(E83:E87)</f>
        <v>100000</v>
      </c>
      <c r="F82" s="199"/>
      <c r="G82" s="199"/>
      <c r="H82" s="199">
        <f>SUM(H83:H87)</f>
        <v>100000</v>
      </c>
      <c r="I82" s="199"/>
      <c r="J82" s="199">
        <f>SUM(J83:J87)</f>
        <v>0</v>
      </c>
      <c r="K82" s="199">
        <f>SUM(K83:K87)</f>
        <v>100000</v>
      </c>
    </row>
    <row r="83" spans="2:11" ht="12.75" customHeight="1" x14ac:dyDescent="0.25">
      <c r="B83" s="180">
        <v>58</v>
      </c>
      <c r="C83" s="182">
        <v>1</v>
      </c>
      <c r="D83" s="185" t="s">
        <v>286</v>
      </c>
      <c r="E83" s="186">
        <v>100000</v>
      </c>
      <c r="F83" s="189"/>
      <c r="G83" s="186"/>
      <c r="H83" s="188">
        <v>100000</v>
      </c>
      <c r="I83" s="188"/>
      <c r="J83" s="200">
        <v>-65000</v>
      </c>
      <c r="K83" s="201">
        <f>$H83+$J83</f>
        <v>35000</v>
      </c>
    </row>
    <row r="84" spans="2:11" ht="12.75" customHeight="1" x14ac:dyDescent="0.25">
      <c r="B84" s="180">
        <v>59</v>
      </c>
      <c r="C84" s="182">
        <v>1</v>
      </c>
      <c r="D84" s="185" t="s">
        <v>289</v>
      </c>
      <c r="E84" s="186"/>
      <c r="F84" s="189"/>
      <c r="G84" s="186"/>
      <c r="H84" s="188">
        <v>0</v>
      </c>
      <c r="I84" s="188"/>
      <c r="J84" s="200">
        <v>20000</v>
      </c>
      <c r="K84" s="201">
        <f>$H84+$J84</f>
        <v>20000</v>
      </c>
    </row>
    <row r="85" spans="2:11" ht="12.75" customHeight="1" x14ac:dyDescent="0.25">
      <c r="B85" s="180">
        <v>60</v>
      </c>
      <c r="C85" s="182">
        <v>1</v>
      </c>
      <c r="D85" s="185" t="s">
        <v>292</v>
      </c>
      <c r="E85" s="186"/>
      <c r="F85" s="189"/>
      <c r="G85" s="186"/>
      <c r="H85" s="188">
        <v>0</v>
      </c>
      <c r="I85" s="188"/>
      <c r="J85" s="200">
        <v>30000</v>
      </c>
      <c r="K85" s="201">
        <f>$H85+$J85</f>
        <v>30000</v>
      </c>
    </row>
    <row r="86" spans="2:11" ht="12.75" customHeight="1" x14ac:dyDescent="0.25">
      <c r="B86" s="180">
        <v>61</v>
      </c>
      <c r="C86" s="182">
        <v>1</v>
      </c>
      <c r="D86" s="185" t="s">
        <v>295</v>
      </c>
      <c r="E86" s="186"/>
      <c r="F86" s="189"/>
      <c r="G86" s="186"/>
      <c r="H86" s="188">
        <v>0</v>
      </c>
      <c r="I86" s="188"/>
      <c r="J86" s="200">
        <v>5000</v>
      </c>
      <c r="K86" s="201">
        <f>$H86+$J86</f>
        <v>5000</v>
      </c>
    </row>
    <row r="87" spans="2:11" ht="12.75" customHeight="1" x14ac:dyDescent="0.25">
      <c r="B87" s="180">
        <v>62</v>
      </c>
      <c r="C87" s="182">
        <v>1</v>
      </c>
      <c r="D87" s="185" t="s">
        <v>298</v>
      </c>
      <c r="E87" s="186"/>
      <c r="F87" s="189"/>
      <c r="G87" s="186"/>
      <c r="H87" s="188">
        <v>0</v>
      </c>
      <c r="I87" s="188"/>
      <c r="J87" s="200">
        <v>10000</v>
      </c>
      <c r="K87" s="201">
        <f>$H87+$J87</f>
        <v>10000</v>
      </c>
    </row>
    <row r="88" spans="2:11" ht="12.75" customHeight="1" x14ac:dyDescent="0.25">
      <c r="B88" s="198"/>
      <c r="C88" s="198"/>
      <c r="D88" s="198"/>
      <c r="E88" s="198"/>
      <c r="F88" s="198"/>
      <c r="G88" s="198"/>
      <c r="H88" s="198"/>
      <c r="I88" s="198"/>
      <c r="J88" s="198"/>
      <c r="K88" s="198"/>
    </row>
    <row r="89" spans="2:11" ht="12.75" customHeight="1" x14ac:dyDescent="0.25">
      <c r="B89" s="171"/>
      <c r="C89" s="171"/>
      <c r="D89" s="171"/>
      <c r="E89" s="171"/>
      <c r="F89" s="171"/>
      <c r="G89" s="171"/>
      <c r="H89" s="171"/>
      <c r="I89" s="171"/>
      <c r="J89" s="171"/>
      <c r="K89" s="171"/>
    </row>
    <row r="90" spans="2:11" ht="12.75" customHeight="1" x14ac:dyDescent="0.25">
      <c r="B90" s="580"/>
      <c r="C90" s="580"/>
      <c r="D90" s="298"/>
      <c r="E90" s="298"/>
      <c r="F90" s="298"/>
      <c r="G90" s="298"/>
      <c r="H90" s="298"/>
      <c r="I90" s="298"/>
      <c r="J90" s="298"/>
      <c r="K90" s="171"/>
    </row>
    <row r="91" spans="2:11" ht="12.75" customHeight="1" x14ac:dyDescent="0.25">
      <c r="B91" s="577" t="s">
        <v>1066</v>
      </c>
      <c r="C91" s="577"/>
      <c r="D91" s="578" t="s">
        <v>1067</v>
      </c>
      <c r="E91" s="578"/>
      <c r="F91" s="578"/>
      <c r="G91" s="578"/>
      <c r="H91" s="578"/>
      <c r="I91" s="578"/>
      <c r="J91" s="578"/>
      <c r="K91" s="578"/>
    </row>
    <row r="92" spans="2:11" ht="12.75" customHeight="1" x14ac:dyDescent="0.25">
      <c r="B92" s="577" t="s">
        <v>1068</v>
      </c>
      <c r="C92" s="577"/>
      <c r="D92" s="578" t="s">
        <v>1069</v>
      </c>
      <c r="E92" s="578"/>
      <c r="F92" s="578"/>
      <c r="G92" s="578"/>
      <c r="H92" s="578"/>
      <c r="I92" s="578"/>
      <c r="J92" s="578"/>
      <c r="K92" s="578"/>
    </row>
    <row r="93" spans="2:11" ht="12.75" customHeight="1" x14ac:dyDescent="0.25">
      <c r="B93" s="577" t="s">
        <v>1070</v>
      </c>
      <c r="C93" s="577"/>
      <c r="D93" s="578" t="s">
        <v>1071</v>
      </c>
      <c r="E93" s="578"/>
      <c r="F93" s="578"/>
      <c r="G93" s="578"/>
      <c r="H93" s="578"/>
      <c r="I93" s="578"/>
      <c r="J93" s="578"/>
      <c r="K93" s="578"/>
    </row>
    <row r="94" spans="2:11" ht="12.75" customHeight="1" x14ac:dyDescent="0.25">
      <c r="B94" s="577" t="s">
        <v>1072</v>
      </c>
      <c r="C94" s="577"/>
      <c r="D94" s="578" t="s">
        <v>1093</v>
      </c>
      <c r="E94" s="578"/>
      <c r="F94" s="578"/>
      <c r="G94" s="578"/>
      <c r="H94" s="578"/>
      <c r="I94" s="578"/>
      <c r="J94" s="578"/>
      <c r="K94" s="578"/>
    </row>
    <row r="95" spans="2:11" ht="12.75" customHeight="1" x14ac:dyDescent="0.25">
      <c r="B95" s="577" t="s">
        <v>1073</v>
      </c>
      <c r="C95" s="577"/>
      <c r="D95" s="578" t="s">
        <v>1074</v>
      </c>
      <c r="E95" s="578"/>
      <c r="F95" s="578"/>
      <c r="G95" s="578"/>
      <c r="H95" s="578"/>
      <c r="I95" s="578"/>
      <c r="J95" s="578"/>
      <c r="K95" s="578"/>
    </row>
    <row r="96" spans="2:11" ht="26.25" customHeight="1" x14ac:dyDescent="0.25">
      <c r="B96" s="202"/>
      <c r="C96" s="202"/>
      <c r="D96" s="578"/>
      <c r="E96" s="578"/>
      <c r="F96" s="578"/>
      <c r="G96" s="578"/>
      <c r="H96" s="578"/>
      <c r="I96" s="578"/>
      <c r="J96" s="578"/>
      <c r="K96" s="578"/>
    </row>
    <row r="97" spans="2:11" ht="12.75" customHeight="1" x14ac:dyDescent="0.25">
      <c r="B97" s="296"/>
      <c r="C97" s="296"/>
      <c r="D97" s="297"/>
      <c r="E97" s="297"/>
      <c r="F97" s="297"/>
      <c r="G97" s="297"/>
      <c r="H97" s="297"/>
      <c r="I97" s="297"/>
      <c r="J97" s="297"/>
      <c r="K97" s="297"/>
    </row>
    <row r="98" spans="2:11" ht="12.75" customHeight="1" x14ac:dyDescent="0.25">
      <c r="B98" s="203" t="s">
        <v>1075</v>
      </c>
      <c r="C98" s="204"/>
      <c r="D98" s="205"/>
      <c r="E98" s="297"/>
      <c r="F98" s="297"/>
      <c r="G98" s="297"/>
      <c r="H98" s="297"/>
      <c r="I98" s="297"/>
      <c r="J98" s="297"/>
      <c r="K98" s="297"/>
    </row>
    <row r="99" spans="2:11" ht="12.75" customHeight="1" x14ac:dyDescent="0.25">
      <c r="B99" s="206" t="s">
        <v>1070</v>
      </c>
      <c r="C99" s="204"/>
      <c r="D99" s="205"/>
      <c r="E99" s="297"/>
      <c r="F99" s="297"/>
      <c r="G99" s="297"/>
      <c r="H99" s="297"/>
      <c r="I99" s="297"/>
      <c r="J99" s="297"/>
      <c r="K99" s="297"/>
    </row>
    <row r="100" spans="2:11" ht="12.75" customHeight="1" x14ac:dyDescent="0.25">
      <c r="B100" s="204"/>
      <c r="C100" s="204" t="s">
        <v>1076</v>
      </c>
      <c r="D100" s="205" t="s">
        <v>1077</v>
      </c>
      <c r="E100" s="297"/>
      <c r="F100" s="297"/>
      <c r="G100" s="297"/>
      <c r="H100" s="297"/>
      <c r="I100" s="297"/>
      <c r="J100" s="297"/>
      <c r="K100" s="297"/>
    </row>
    <row r="101" spans="2:11" ht="12.75" customHeight="1" x14ac:dyDescent="0.25">
      <c r="B101" s="204"/>
      <c r="C101" s="204" t="s">
        <v>1078</v>
      </c>
      <c r="D101" s="205" t="s">
        <v>1079</v>
      </c>
      <c r="E101" s="297"/>
      <c r="F101" s="297"/>
      <c r="G101" s="297"/>
      <c r="H101" s="297"/>
      <c r="I101" s="297"/>
      <c r="J101" s="297"/>
      <c r="K101" s="297"/>
    </row>
    <row r="102" spans="2:11" ht="12.75" customHeight="1" x14ac:dyDescent="0.25">
      <c r="B102" s="206" t="s">
        <v>1073</v>
      </c>
      <c r="C102" s="204"/>
      <c r="D102" s="205"/>
      <c r="E102" s="297"/>
      <c r="F102" s="297"/>
      <c r="G102" s="297"/>
      <c r="H102" s="297"/>
      <c r="I102" s="297"/>
      <c r="J102" s="297"/>
      <c r="K102" s="297"/>
    </row>
    <row r="103" spans="2:11" ht="12.75" customHeight="1" x14ac:dyDescent="0.25">
      <c r="B103" s="204"/>
      <c r="C103" s="204" t="s">
        <v>1080</v>
      </c>
      <c r="D103" s="205" t="s">
        <v>1081</v>
      </c>
      <c r="E103" s="297"/>
      <c r="F103" s="297"/>
      <c r="G103" s="297"/>
      <c r="H103" s="297"/>
      <c r="I103" s="297"/>
      <c r="J103" s="297"/>
      <c r="K103" s="297"/>
    </row>
    <row r="104" spans="2:11" ht="12.75" customHeight="1" x14ac:dyDescent="0.25">
      <c r="B104" s="9"/>
      <c r="C104" s="171"/>
      <c r="D104" s="171"/>
      <c r="E104" s="171"/>
      <c r="F104" s="171"/>
      <c r="G104" s="171"/>
      <c r="H104" s="171"/>
      <c r="I104" s="171"/>
      <c r="J104" s="171"/>
      <c r="K104" s="171"/>
    </row>
    <row r="107" spans="2:11" ht="20.100000000000001" customHeight="1" x14ac:dyDescent="0.25">
      <c r="B107" s="9" t="s">
        <v>1031</v>
      </c>
    </row>
    <row r="109" spans="2:11" ht="12.75" customHeight="1" x14ac:dyDescent="0.25">
      <c r="B109" s="573" t="s">
        <v>1573</v>
      </c>
      <c r="C109" s="573"/>
      <c r="D109" s="573"/>
      <c r="E109" s="573"/>
      <c r="F109" s="573"/>
      <c r="G109" s="573"/>
      <c r="H109" s="573"/>
      <c r="I109" s="573"/>
      <c r="J109" s="573"/>
      <c r="K109" s="573"/>
    </row>
    <row r="110" spans="2:11" ht="12.75" customHeight="1" x14ac:dyDescent="0.25">
      <c r="B110" s="573" t="s">
        <v>1574</v>
      </c>
      <c r="C110" s="573"/>
      <c r="D110" s="573"/>
      <c r="E110" s="573"/>
      <c r="F110" s="573"/>
      <c r="G110" s="573"/>
      <c r="H110" s="573"/>
      <c r="I110" s="573"/>
      <c r="J110" s="573"/>
      <c r="K110" s="573"/>
    </row>
    <row r="111" spans="2:11" ht="12.75" customHeight="1" x14ac:dyDescent="0.25">
      <c r="B111" s="578" t="s">
        <v>1565</v>
      </c>
      <c r="C111" s="578"/>
      <c r="D111" s="578"/>
      <c r="E111" s="578"/>
      <c r="F111" s="578"/>
      <c r="G111" s="578"/>
      <c r="H111" s="578"/>
      <c r="I111" s="578"/>
      <c r="J111" s="578"/>
      <c r="K111" s="578"/>
    </row>
    <row r="112" spans="2:11" ht="12.75" customHeight="1" x14ac:dyDescent="0.25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</row>
    <row r="113" spans="2:11" ht="12.75" customHeight="1" x14ac:dyDescent="0.25">
      <c r="B113" s="171" t="s">
        <v>1032</v>
      </c>
      <c r="C113" s="171"/>
      <c r="D113" s="171"/>
      <c r="E113" s="171"/>
      <c r="F113" s="171"/>
      <c r="G113" s="171"/>
      <c r="H113" s="171"/>
      <c r="I113" s="171"/>
      <c r="J113" s="171"/>
      <c r="K113" s="171"/>
    </row>
    <row r="114" spans="2:11" ht="12.75" customHeight="1" x14ac:dyDescent="0.25">
      <c r="B114" s="287"/>
      <c r="C114" s="287"/>
      <c r="D114" s="287"/>
      <c r="E114" s="287"/>
      <c r="F114" s="287"/>
      <c r="G114" s="287"/>
      <c r="H114" s="287"/>
      <c r="I114" s="287"/>
      <c r="J114" s="287"/>
      <c r="K114" s="288"/>
    </row>
    <row r="115" spans="2:11" ht="12.75" customHeight="1" x14ac:dyDescent="0.25">
      <c r="B115" s="175"/>
      <c r="C115" s="175"/>
      <c r="D115" s="175"/>
      <c r="E115" s="175"/>
      <c r="F115" s="175"/>
      <c r="G115" s="175"/>
      <c r="H115" s="175"/>
      <c r="I115" s="175"/>
      <c r="J115" s="175"/>
      <c r="K115" s="176"/>
    </row>
    <row r="116" spans="2:11" ht="12.75" customHeight="1" x14ac:dyDescent="0.25">
      <c r="B116" s="574" t="s">
        <v>1033</v>
      </c>
      <c r="C116" s="574"/>
      <c r="D116" s="574"/>
      <c r="E116" s="574"/>
      <c r="F116" s="574"/>
      <c r="G116" s="574"/>
      <c r="H116" s="574"/>
      <c r="I116" s="574"/>
      <c r="J116" s="574"/>
      <c r="K116" s="574"/>
    </row>
    <row r="117" spans="2:11" ht="12.75" customHeight="1" x14ac:dyDescent="0.25">
      <c r="B117" s="177" t="s">
        <v>1034</v>
      </c>
      <c r="C117" s="177"/>
      <c r="D117" s="177"/>
      <c r="E117" s="177"/>
      <c r="F117" s="177"/>
      <c r="G117" s="177"/>
      <c r="H117" s="177"/>
      <c r="I117" s="177"/>
      <c r="J117" s="177"/>
      <c r="K117" s="177"/>
    </row>
    <row r="118" spans="2:11" ht="12.75" customHeight="1" x14ac:dyDescent="0.25"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</row>
    <row r="119" spans="2:11" ht="12.75" customHeight="1" x14ac:dyDescent="0.25">
      <c r="B119" s="193" t="s">
        <v>1094</v>
      </c>
      <c r="C119" s="180"/>
      <c r="D119" s="177"/>
      <c r="E119" s="178" t="s">
        <v>691</v>
      </c>
      <c r="F119" s="178" t="s">
        <v>692</v>
      </c>
      <c r="G119" s="178" t="s">
        <v>693</v>
      </c>
      <c r="H119" s="178" t="s">
        <v>696</v>
      </c>
      <c r="I119" s="179"/>
      <c r="J119" s="179"/>
      <c r="K119" s="179"/>
    </row>
    <row r="120" spans="2:11" ht="12.75" customHeight="1" x14ac:dyDescent="0.25">
      <c r="B120" s="180">
        <v>136</v>
      </c>
      <c r="C120" s="182">
        <v>1</v>
      </c>
      <c r="D120" s="299" t="s">
        <v>449</v>
      </c>
      <c r="E120" s="186">
        <v>50000</v>
      </c>
      <c r="F120" s="187">
        <v>170</v>
      </c>
      <c r="G120" s="186">
        <v>40000</v>
      </c>
      <c r="H120" s="188">
        <f>E120-G120</f>
        <v>10000</v>
      </c>
      <c r="I120" s="181"/>
      <c r="J120" s="181"/>
      <c r="K120" s="181"/>
    </row>
    <row r="121" spans="2:11" ht="12.75" customHeight="1" x14ac:dyDescent="0.25">
      <c r="B121" s="180"/>
      <c r="C121" s="180"/>
      <c r="D121" s="190"/>
      <c r="E121" s="191"/>
      <c r="F121" s="191"/>
      <c r="G121" s="191"/>
      <c r="H121" s="191"/>
      <c r="I121" s="191"/>
      <c r="J121" s="191"/>
      <c r="K121" s="191"/>
    </row>
    <row r="122" spans="2:11" ht="12.75" customHeight="1" x14ac:dyDescent="0.25">
      <c r="B122" s="190"/>
      <c r="C122" s="180"/>
      <c r="D122" s="177"/>
      <c r="E122" s="192"/>
      <c r="F122" s="192"/>
      <c r="G122" s="192"/>
      <c r="H122" s="192"/>
      <c r="I122" s="192"/>
      <c r="J122" s="192"/>
      <c r="K122" s="192"/>
    </row>
    <row r="123" spans="2:11" ht="12.75" customHeight="1" x14ac:dyDescent="0.25">
      <c r="B123" s="193" t="s">
        <v>13</v>
      </c>
      <c r="C123" s="180"/>
      <c r="D123" s="177"/>
      <c r="E123" s="191"/>
      <c r="F123" s="191"/>
      <c r="G123" s="191"/>
      <c r="H123" s="191"/>
      <c r="I123" s="191"/>
      <c r="J123" s="191"/>
      <c r="K123" s="191"/>
    </row>
    <row r="124" spans="2:11" ht="12.75" customHeight="1" x14ac:dyDescent="0.25">
      <c r="B124" s="194"/>
      <c r="C124" s="575" t="s">
        <v>1095</v>
      </c>
      <c r="D124" s="576"/>
      <c r="E124" s="195">
        <f>SUM(E125:E126)</f>
        <v>1500000000</v>
      </c>
      <c r="F124" s="195"/>
      <c r="G124" s="195"/>
      <c r="H124" s="195">
        <f>SUM(H125:H126)</f>
        <v>1499960000</v>
      </c>
      <c r="I124" s="196"/>
      <c r="J124" s="196"/>
      <c r="K124" s="196"/>
    </row>
    <row r="125" spans="2:11" ht="14.25" customHeight="1" x14ac:dyDescent="0.25">
      <c r="B125" s="180">
        <v>170</v>
      </c>
      <c r="C125" s="182">
        <v>-1</v>
      </c>
      <c r="D125" s="185" t="s">
        <v>1096</v>
      </c>
      <c r="E125" s="186">
        <v>1500000000</v>
      </c>
      <c r="F125" s="187">
        <v>136</v>
      </c>
      <c r="G125" s="186"/>
      <c r="H125" s="188">
        <f>E125-G120</f>
        <v>1499960000</v>
      </c>
      <c r="I125" s="183"/>
      <c r="J125" s="184"/>
      <c r="K125" s="183"/>
    </row>
    <row r="126" spans="2:11" ht="14.25" customHeight="1" x14ac:dyDescent="0.25">
      <c r="B126" s="180">
        <v>176</v>
      </c>
      <c r="C126" s="182">
        <v>-1</v>
      </c>
      <c r="D126" s="197" t="s">
        <v>1097</v>
      </c>
      <c r="E126" s="186"/>
      <c r="F126" s="189"/>
      <c r="G126" s="186"/>
      <c r="H126" s="188">
        <v>0</v>
      </c>
      <c r="I126" s="183"/>
      <c r="J126" s="184"/>
      <c r="K126" s="183"/>
    </row>
    <row r="127" spans="2:11" ht="12.75" customHeight="1" x14ac:dyDescent="0.25"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</row>
    <row r="128" spans="2:11" ht="12.75" customHeight="1" x14ac:dyDescent="0.25">
      <c r="B128" s="287"/>
      <c r="C128" s="287"/>
      <c r="D128" s="287"/>
      <c r="E128" s="287"/>
      <c r="F128" s="287"/>
      <c r="G128" s="287"/>
      <c r="H128" s="287"/>
      <c r="I128" s="287"/>
      <c r="J128" s="287"/>
      <c r="K128" s="288"/>
    </row>
    <row r="129" spans="2:11" ht="12.75" customHeight="1" x14ac:dyDescent="0.25">
      <c r="B129" s="175"/>
      <c r="C129" s="175"/>
      <c r="D129" s="175"/>
      <c r="E129" s="175"/>
      <c r="F129" s="175"/>
      <c r="G129" s="175"/>
      <c r="H129" s="175"/>
      <c r="I129" s="175"/>
      <c r="J129" s="175"/>
      <c r="K129" s="176"/>
    </row>
    <row r="130" spans="2:11" ht="12.75" customHeight="1" x14ac:dyDescent="0.25">
      <c r="B130" s="574" t="s">
        <v>1035</v>
      </c>
      <c r="C130" s="574"/>
      <c r="D130" s="574"/>
      <c r="E130" s="574"/>
      <c r="F130" s="574"/>
      <c r="G130" s="574"/>
      <c r="H130" s="574"/>
      <c r="I130" s="574"/>
      <c r="J130" s="574"/>
      <c r="K130" s="574"/>
    </row>
    <row r="131" spans="2:11" ht="12.75" customHeight="1" x14ac:dyDescent="0.25">
      <c r="B131" s="177" t="s">
        <v>1098</v>
      </c>
      <c r="C131" s="177"/>
      <c r="D131" s="177"/>
      <c r="E131" s="177"/>
      <c r="F131" s="177"/>
      <c r="G131" s="177"/>
      <c r="H131" s="177"/>
      <c r="I131" s="177"/>
      <c r="J131" s="177"/>
      <c r="K131" s="177"/>
    </row>
    <row r="132" spans="2:11" ht="12.75" customHeight="1" x14ac:dyDescent="0.25"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</row>
    <row r="133" spans="2:11" ht="12.75" customHeight="1" x14ac:dyDescent="0.25">
      <c r="B133" s="177"/>
      <c r="C133" s="177"/>
      <c r="D133" s="177"/>
      <c r="E133" s="178" t="s">
        <v>691</v>
      </c>
      <c r="F133" s="178" t="s">
        <v>692</v>
      </c>
      <c r="G133" s="178" t="s">
        <v>693</v>
      </c>
      <c r="H133" s="178" t="s">
        <v>696</v>
      </c>
      <c r="I133" s="178" t="s">
        <v>697</v>
      </c>
      <c r="J133" s="178" t="s">
        <v>698</v>
      </c>
      <c r="K133" s="178" t="s">
        <v>1086</v>
      </c>
    </row>
    <row r="134" spans="2:11" ht="12.75" customHeight="1" x14ac:dyDescent="0.25">
      <c r="B134" s="180"/>
      <c r="C134" s="579" t="s">
        <v>1036</v>
      </c>
      <c r="D134" s="576"/>
      <c r="E134" s="199">
        <f>SUM(E135:E139)</f>
        <v>100000</v>
      </c>
      <c r="F134" s="199"/>
      <c r="G134" s="199"/>
      <c r="H134" s="199">
        <f>SUM(H135:H139)</f>
        <v>100000</v>
      </c>
      <c r="I134" s="199"/>
      <c r="J134" s="199">
        <f>SUM(J135:J139)</f>
        <v>0</v>
      </c>
      <c r="K134" s="199">
        <f>SUM(K135:K139)</f>
        <v>100000</v>
      </c>
    </row>
    <row r="135" spans="2:11" ht="12.75" customHeight="1" x14ac:dyDescent="0.25">
      <c r="B135" s="180">
        <v>58</v>
      </c>
      <c r="C135" s="182">
        <v>1</v>
      </c>
      <c r="D135" s="185" t="s">
        <v>287</v>
      </c>
      <c r="E135" s="186">
        <v>100000</v>
      </c>
      <c r="F135" s="189"/>
      <c r="G135" s="186"/>
      <c r="H135" s="188">
        <v>100000</v>
      </c>
      <c r="I135" s="188"/>
      <c r="J135" s="200">
        <v>-65000</v>
      </c>
      <c r="K135" s="201">
        <f>$H135+$J135</f>
        <v>35000</v>
      </c>
    </row>
    <row r="136" spans="2:11" ht="12.75" customHeight="1" x14ac:dyDescent="0.25">
      <c r="B136" s="180">
        <v>59</v>
      </c>
      <c r="C136" s="182">
        <v>1</v>
      </c>
      <c r="D136" s="185" t="s">
        <v>290</v>
      </c>
      <c r="E136" s="186"/>
      <c r="F136" s="189"/>
      <c r="G136" s="186"/>
      <c r="H136" s="188">
        <v>0</v>
      </c>
      <c r="I136" s="188"/>
      <c r="J136" s="200">
        <v>20000</v>
      </c>
      <c r="K136" s="201">
        <f>$H136+$J136</f>
        <v>20000</v>
      </c>
    </row>
    <row r="137" spans="2:11" ht="12.75" customHeight="1" x14ac:dyDescent="0.25">
      <c r="B137" s="180">
        <v>60</v>
      </c>
      <c r="C137" s="182">
        <v>1</v>
      </c>
      <c r="D137" s="185" t="s">
        <v>293</v>
      </c>
      <c r="E137" s="186"/>
      <c r="F137" s="189"/>
      <c r="G137" s="186"/>
      <c r="H137" s="188">
        <v>0</v>
      </c>
      <c r="I137" s="188"/>
      <c r="J137" s="200">
        <v>30000</v>
      </c>
      <c r="K137" s="201">
        <f>$H137+$J137</f>
        <v>30000</v>
      </c>
    </row>
    <row r="138" spans="2:11" ht="12.75" customHeight="1" x14ac:dyDescent="0.25">
      <c r="B138" s="180">
        <v>61</v>
      </c>
      <c r="C138" s="182">
        <v>1</v>
      </c>
      <c r="D138" s="185" t="s">
        <v>296</v>
      </c>
      <c r="E138" s="186"/>
      <c r="F138" s="189"/>
      <c r="G138" s="186"/>
      <c r="H138" s="188">
        <v>0</v>
      </c>
      <c r="I138" s="188"/>
      <c r="J138" s="200">
        <v>5000</v>
      </c>
      <c r="K138" s="201">
        <f>$H138+$J138</f>
        <v>5000</v>
      </c>
    </row>
    <row r="139" spans="2:11" ht="12.75" customHeight="1" x14ac:dyDescent="0.25">
      <c r="B139" s="180">
        <v>62</v>
      </c>
      <c r="C139" s="182">
        <v>1</v>
      </c>
      <c r="D139" s="185" t="s">
        <v>299</v>
      </c>
      <c r="E139" s="186"/>
      <c r="F139" s="189"/>
      <c r="G139" s="186"/>
      <c r="H139" s="188">
        <v>0</v>
      </c>
      <c r="I139" s="188"/>
      <c r="J139" s="200">
        <v>10000</v>
      </c>
      <c r="K139" s="201">
        <f>$H139+$J139</f>
        <v>10000</v>
      </c>
    </row>
    <row r="140" spans="2:11" ht="12.75" customHeight="1" x14ac:dyDescent="0.25"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</row>
    <row r="141" spans="2:11" ht="12.75" customHeight="1" x14ac:dyDescent="0.25"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</row>
    <row r="142" spans="2:11" ht="12.75" customHeight="1" x14ac:dyDescent="0.25">
      <c r="B142" s="580"/>
      <c r="C142" s="580"/>
      <c r="D142" s="289"/>
      <c r="E142" s="289"/>
      <c r="F142" s="289"/>
      <c r="G142" s="289"/>
      <c r="H142" s="289"/>
      <c r="I142" s="289"/>
      <c r="J142" s="289"/>
      <c r="K142" s="171"/>
    </row>
    <row r="143" spans="2:11" ht="12.75" customHeight="1" x14ac:dyDescent="0.25">
      <c r="B143" s="577" t="s">
        <v>1037</v>
      </c>
      <c r="C143" s="577"/>
      <c r="D143" s="578" t="s">
        <v>1038</v>
      </c>
      <c r="E143" s="578"/>
      <c r="F143" s="578"/>
      <c r="G143" s="578"/>
      <c r="H143" s="578"/>
      <c r="I143" s="578"/>
      <c r="J143" s="578"/>
      <c r="K143" s="578"/>
    </row>
    <row r="144" spans="2:11" ht="12.75" customHeight="1" x14ac:dyDescent="0.25">
      <c r="B144" s="577" t="s">
        <v>1039</v>
      </c>
      <c r="C144" s="577"/>
      <c r="D144" s="578" t="s">
        <v>1040</v>
      </c>
      <c r="E144" s="578"/>
      <c r="F144" s="578"/>
      <c r="G144" s="578"/>
      <c r="H144" s="578"/>
      <c r="I144" s="578"/>
      <c r="J144" s="578"/>
      <c r="K144" s="578"/>
    </row>
    <row r="145" spans="2:11" ht="12.75" customHeight="1" x14ac:dyDescent="0.25">
      <c r="B145" s="577" t="s">
        <v>1041</v>
      </c>
      <c r="C145" s="577"/>
      <c r="D145" s="578" t="s">
        <v>1042</v>
      </c>
      <c r="E145" s="578"/>
      <c r="F145" s="578"/>
      <c r="G145" s="578"/>
      <c r="H145" s="578"/>
      <c r="I145" s="578"/>
      <c r="J145" s="578"/>
      <c r="K145" s="578"/>
    </row>
    <row r="146" spans="2:11" ht="12.75" customHeight="1" x14ac:dyDescent="0.25">
      <c r="B146" s="577" t="s">
        <v>1043</v>
      </c>
      <c r="C146" s="577"/>
      <c r="D146" s="578" t="s">
        <v>1099</v>
      </c>
      <c r="E146" s="578"/>
      <c r="F146" s="578"/>
      <c r="G146" s="578"/>
      <c r="H146" s="578"/>
      <c r="I146" s="578"/>
      <c r="J146" s="578"/>
      <c r="K146" s="578"/>
    </row>
    <row r="147" spans="2:11" ht="12.75" customHeight="1" x14ac:dyDescent="0.25">
      <c r="B147" s="577" t="s">
        <v>1044</v>
      </c>
      <c r="C147" s="577"/>
      <c r="D147" s="578" t="s">
        <v>1045</v>
      </c>
      <c r="E147" s="578"/>
      <c r="F147" s="578"/>
      <c r="G147" s="578"/>
      <c r="H147" s="578"/>
      <c r="I147" s="578"/>
      <c r="J147" s="578"/>
      <c r="K147" s="578"/>
    </row>
    <row r="148" spans="2:11" ht="12.75" customHeight="1" x14ac:dyDescent="0.25">
      <c r="B148" s="202"/>
      <c r="C148" s="202"/>
      <c r="D148" s="578"/>
      <c r="E148" s="578"/>
      <c r="F148" s="578"/>
      <c r="G148" s="578"/>
      <c r="H148" s="578"/>
      <c r="I148" s="578"/>
      <c r="J148" s="578"/>
      <c r="K148" s="578"/>
    </row>
    <row r="149" spans="2:11" ht="12.75" customHeight="1" x14ac:dyDescent="0.25">
      <c r="B149" s="287"/>
      <c r="C149" s="287"/>
      <c r="D149" s="288"/>
      <c r="E149" s="288"/>
      <c r="F149" s="288"/>
      <c r="G149" s="288"/>
      <c r="H149" s="288"/>
      <c r="I149" s="288"/>
      <c r="J149" s="288"/>
      <c r="K149" s="288"/>
    </row>
    <row r="150" spans="2:11" ht="12.75" customHeight="1" x14ac:dyDescent="0.25">
      <c r="B150" s="203" t="s">
        <v>1046</v>
      </c>
      <c r="C150" s="204"/>
      <c r="D150" s="205"/>
      <c r="E150" s="288"/>
      <c r="F150" s="288"/>
      <c r="G150" s="288"/>
      <c r="H150" s="288"/>
      <c r="I150" s="288"/>
      <c r="J150" s="288"/>
      <c r="K150" s="288"/>
    </row>
    <row r="151" spans="2:11" ht="12.75" customHeight="1" x14ac:dyDescent="0.25">
      <c r="B151" s="206" t="s">
        <v>1041</v>
      </c>
      <c r="C151" s="204"/>
      <c r="D151" s="205"/>
      <c r="E151" s="288"/>
      <c r="F151" s="288"/>
      <c r="G151" s="288"/>
      <c r="H151" s="288"/>
      <c r="I151" s="288"/>
      <c r="J151" s="288"/>
      <c r="K151" s="288"/>
    </row>
    <row r="152" spans="2:11" ht="12.75" customHeight="1" x14ac:dyDescent="0.25">
      <c r="B152" s="204"/>
      <c r="C152" s="204" t="s">
        <v>1047</v>
      </c>
      <c r="D152" s="205" t="s">
        <v>1048</v>
      </c>
      <c r="E152" s="288"/>
      <c r="F152" s="288"/>
      <c r="G152" s="288"/>
      <c r="H152" s="288"/>
      <c r="I152" s="288"/>
      <c r="J152" s="288"/>
      <c r="K152" s="288"/>
    </row>
    <row r="153" spans="2:11" ht="12.75" customHeight="1" x14ac:dyDescent="0.25">
      <c r="B153" s="204"/>
      <c r="C153" s="204" t="s">
        <v>1049</v>
      </c>
      <c r="D153" s="205" t="s">
        <v>1050</v>
      </c>
      <c r="E153" s="288"/>
      <c r="F153" s="288"/>
      <c r="G153" s="288"/>
      <c r="H153" s="288"/>
      <c r="I153" s="288"/>
      <c r="J153" s="288"/>
      <c r="K153" s="288"/>
    </row>
    <row r="154" spans="2:11" ht="12.75" customHeight="1" x14ac:dyDescent="0.25">
      <c r="B154" s="206" t="s">
        <v>1044</v>
      </c>
      <c r="C154" s="204"/>
      <c r="D154" s="205"/>
      <c r="E154" s="288"/>
      <c r="F154" s="288"/>
      <c r="G154" s="288"/>
      <c r="H154" s="288"/>
      <c r="I154" s="288"/>
      <c r="J154" s="288"/>
      <c r="K154" s="288"/>
    </row>
    <row r="155" spans="2:11" ht="12.75" customHeight="1" x14ac:dyDescent="0.25">
      <c r="B155" s="204"/>
      <c r="C155" s="204" t="s">
        <v>1051</v>
      </c>
      <c r="D155" s="205" t="s">
        <v>1052</v>
      </c>
      <c r="E155" s="288"/>
      <c r="F155" s="288"/>
      <c r="G155" s="288"/>
      <c r="H155" s="288"/>
      <c r="I155" s="288"/>
      <c r="J155" s="288"/>
      <c r="K155" s="288"/>
    </row>
  </sheetData>
  <mergeCells count="54">
    <mergeCell ref="B40:C40"/>
    <mergeCell ref="D40:K40"/>
    <mergeCell ref="B4:K4"/>
    <mergeCell ref="B5:K5"/>
    <mergeCell ref="B6:K6"/>
    <mergeCell ref="B11:K11"/>
    <mergeCell ref="C19:D19"/>
    <mergeCell ref="B26:K26"/>
    <mergeCell ref="C30:D30"/>
    <mergeCell ref="B38:C38"/>
    <mergeCell ref="B39:C39"/>
    <mergeCell ref="D39:K39"/>
    <mergeCell ref="B41:C41"/>
    <mergeCell ref="D41:K41"/>
    <mergeCell ref="B42:C42"/>
    <mergeCell ref="D42:K42"/>
    <mergeCell ref="B43:C43"/>
    <mergeCell ref="D43:K44"/>
    <mergeCell ref="B91:C91"/>
    <mergeCell ref="B92:C92"/>
    <mergeCell ref="D92:K92"/>
    <mergeCell ref="B58:K58"/>
    <mergeCell ref="B59:K59"/>
    <mergeCell ref="D95:K96"/>
    <mergeCell ref="B93:C93"/>
    <mergeCell ref="D93:K93"/>
    <mergeCell ref="B94:C94"/>
    <mergeCell ref="D94:K94"/>
    <mergeCell ref="B95:C95"/>
    <mergeCell ref="B146:C146"/>
    <mergeCell ref="D146:K146"/>
    <mergeCell ref="B147:C147"/>
    <mergeCell ref="D147:K148"/>
    <mergeCell ref="B142:C142"/>
    <mergeCell ref="B143:C143"/>
    <mergeCell ref="D143:K143"/>
    <mergeCell ref="B144:C144"/>
    <mergeCell ref="D144:K144"/>
    <mergeCell ref="B57:K57"/>
    <mergeCell ref="B64:K64"/>
    <mergeCell ref="C72:D72"/>
    <mergeCell ref="B78:K78"/>
    <mergeCell ref="B145:C145"/>
    <mergeCell ref="D145:K145"/>
    <mergeCell ref="B116:K116"/>
    <mergeCell ref="C124:D124"/>
    <mergeCell ref="B130:K130"/>
    <mergeCell ref="C134:D134"/>
    <mergeCell ref="B109:K109"/>
    <mergeCell ref="B110:K110"/>
    <mergeCell ref="B111:K111"/>
    <mergeCell ref="C82:D82"/>
    <mergeCell ref="B90:C90"/>
    <mergeCell ref="D91:K91"/>
  </mergeCells>
  <conditionalFormatting sqref="J31:J35">
    <cfRule type="cellIs" dxfId="10" priority="28" stopIfTrue="1" operator="notEqual">
      <formula>0</formula>
    </cfRule>
  </conditionalFormatting>
  <conditionalFormatting sqref="F31:F35 F20:F21 F135:F139 F83:F87 F15 F68 F73:F74 F120 F125:F126">
    <cfRule type="expression" dxfId="9" priority="29" stopIfTrue="1">
      <formula>IF(ISBLANK(F15),0,IF(ISNA(MATCH($F15,$B:$B,0)),1,0))</formula>
    </cfRule>
    <cfRule type="expression" dxfId="8" priority="30" stopIfTrue="1">
      <formula>IF(ISBLANK(F15),0,1)</formula>
    </cfRule>
    <cfRule type="expression" dxfId="7" priority="31" stopIfTrue="1">
      <formula>IF(ISERROR(MATCH($B15,$F:$F,0)),0,1)</formula>
    </cfRule>
  </conditionalFormatting>
  <conditionalFormatting sqref="J135:J139">
    <cfRule type="cellIs" dxfId="6" priority="20" stopIfTrue="1" operator="notEqual">
      <formula>0</formula>
    </cfRule>
  </conditionalFormatting>
  <conditionalFormatting sqref="J83:J87">
    <cfRule type="cellIs" dxfId="5" priority="16" stopIfTrue="1" operator="notEqual">
      <formula>0</formula>
    </cfRule>
  </conditionalFormatting>
  <pageMargins left="0.47244094488188981" right="0.39370078740157483" top="0.59055118110236227" bottom="0" header="0.51181102362204722" footer="0.51181102362204722"/>
  <pageSetup paperSize="9" scale="72" orientation="landscape" horizontalDpi="1200" verticalDpi="1200" r:id="rId1"/>
  <headerFooter alignWithMargins="0">
    <oddHeader>&amp;R&amp;"Arial,Fett"&amp;12SST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8">
    <tabColor rgb="FFD4ECF9"/>
    <pageSetUpPr fitToPage="1"/>
  </sheetPr>
  <dimension ref="A1:R297"/>
  <sheetViews>
    <sheetView showGridLines="0" zoomScale="90" zoomScaleNormal="90" workbookViewId="0"/>
  </sheetViews>
  <sheetFormatPr baseColWidth="10" defaultColWidth="8.85546875" defaultRowHeight="12.75" customHeight="1" x14ac:dyDescent="0.25"/>
  <cols>
    <col min="1" max="1" width="5.7109375" style="58" customWidth="1"/>
    <col min="2" max="2" width="5.7109375" style="59" customWidth="1"/>
    <col min="3" max="3" width="5.7109375" style="207" customWidth="1"/>
    <col min="4" max="4" width="14.7109375" style="55" customWidth="1"/>
    <col min="5" max="5" width="95.7109375" style="60" customWidth="1"/>
    <col min="6" max="6" width="16.7109375" style="208" customWidth="1"/>
    <col min="7" max="13" width="16.7109375" style="58" customWidth="1"/>
    <col min="14" max="16384" width="8.85546875" style="58"/>
  </cols>
  <sheetData>
    <row r="1" spans="1:13" ht="20.100000000000001" customHeight="1" x14ac:dyDescent="0.25">
      <c r="A1" s="8">
        <v>6</v>
      </c>
      <c r="B1" s="304" t="str">
        <f>IF(Language="DE", list_of_sheets!D12, IF(Language="FR", list_of_sheets!E12,list_of_sheets!F12))</f>
        <v>Differenzen zwischen statutarischer und marktkonformer Bewertung (SST-Bilanz)</v>
      </c>
      <c r="D1" s="164"/>
      <c r="E1" s="56"/>
      <c r="F1" s="56"/>
      <c r="G1" s="56"/>
      <c r="H1" s="56"/>
      <c r="I1" s="56"/>
      <c r="J1" s="56"/>
      <c r="K1" s="412" t="s">
        <v>1455</v>
      </c>
      <c r="L1" s="413">
        <f>L182-L123</f>
        <v>0</v>
      </c>
      <c r="M1" s="413"/>
    </row>
    <row r="2" spans="1:13" ht="14.25" customHeight="1" x14ac:dyDescent="0.25">
      <c r="G2" s="209"/>
      <c r="H2" s="209"/>
      <c r="I2" s="56"/>
      <c r="J2" s="210"/>
      <c r="K2" s="164" t="s">
        <v>1456</v>
      </c>
      <c r="L2" s="414">
        <f>L169-L121-(L252-L173)</f>
        <v>0</v>
      </c>
      <c r="M2" s="414"/>
    </row>
    <row r="3" spans="1:13" ht="14.25" customHeight="1" x14ac:dyDescent="0.25">
      <c r="J3" s="211"/>
      <c r="K3" s="415" t="s">
        <v>1457</v>
      </c>
      <c r="L3" s="416">
        <f>L173-L182-(L121-L123)</f>
        <v>0</v>
      </c>
      <c r="M3" s="416"/>
    </row>
    <row r="4" spans="1:13" ht="140.1" customHeight="1" x14ac:dyDescent="0.25">
      <c r="B4" s="212" t="str">
        <f>VLOOKUP("T.08.03",Translation,LanguageNo+1,FALSE)</f>
        <v>Staffelrechnung</v>
      </c>
      <c r="C4" s="213"/>
      <c r="D4" s="214"/>
      <c r="E4" s="215" t="str">
        <f>VLOOKUP("T.08.02",Translation,LanguageNo+1,FALSE)</f>
        <v>SST-Bilanz für das BVG Geschäft</v>
      </c>
      <c r="F4" s="241" t="str">
        <f>VLOOKUP("T.11.03",Translation,LanguageNo+1,FALSE)
&amp;Unit &amp;SST_Currency</f>
        <v>Statutarischer Wert  in Mio. CHF</v>
      </c>
      <c r="G4" s="294" t="str">
        <f>VLOOKUP("T.11.04",Translation,LanguageNo+1,FALSE)</f>
        <v>Allokation REF (Hier Zeilenref angeben, auf die alloziert werden soll.)</v>
      </c>
      <c r="H4" s="242" t="str">
        <f>VLOOKUP("T.11.05",Translation,LanguageNo+1,FALSE)</f>
        <v>Allokation WERT (Umzulegender Anteil von Spalte F)</v>
      </c>
      <c r="I4" s="242" t="str">
        <f>VLOOKUP("T.11.06",Translation,LanguageNo+1,FALSE)</f>
        <v>Zwischenspalte Aktiven und Passiven stimmen noch nicht überein</v>
      </c>
      <c r="J4" s="294" t="str">
        <f>VLOOKUP("T.11.07",Translation,LanguageNo+1,FALSE)</f>
        <v>Weitere Allokationen Müssen sich gegenseitig kompensieren. Zu benützen, wenn Spalten E und F nicht genügen. Bitte im SST-Bericht begründen.</v>
      </c>
      <c r="K4" s="242" t="str">
        <f>VLOOKUP("T.11.08",Translation,LanguageNo+1,FALSE)</f>
        <v xml:space="preserve">Statutarischer Bilanzwert nach Allokation </v>
      </c>
      <c r="L4" s="243" t="str">
        <f>VLOOKUP("T.11.09",Translation,LanguageNo+1,FALSE)</f>
        <v>Bewertungsdifferenzen zw. statutarischem und marktkonformem Wert</v>
      </c>
      <c r="M4" s="293" t="str">
        <f>VLOOKUP("T.08.05",Translation,LanguageNo+1,FALSE)</f>
        <v xml:space="preserve">Marktkonformer Wert bzw. Best Estimate  </v>
      </c>
    </row>
    <row r="5" spans="1:13" ht="39.950000000000003" customHeight="1" x14ac:dyDescent="0.25">
      <c r="B5" s="397" t="s">
        <v>716</v>
      </c>
      <c r="C5" s="398" t="str">
        <f>VLOOKUP("T.11.02",Translation,LanguageNo+1,FALSE)</f>
        <v>Vorzeichen</v>
      </c>
      <c r="D5" s="399" t="str">
        <f>VLOOKUP("T.08.04",Translation,LanguageNo+1,FALSE)</f>
        <v>Kontonummer</v>
      </c>
      <c r="E5" s="400"/>
      <c r="F5" s="401" t="str">
        <f>"31.12."&amp;Year-1</f>
        <v>31.12.2023</v>
      </c>
      <c r="G5" s="402"/>
      <c r="H5" s="402"/>
      <c r="I5" s="403" t="str">
        <f>"31.12."&amp;Year-1</f>
        <v>31.12.2023</v>
      </c>
      <c r="J5" s="402"/>
      <c r="K5" s="403" t="str">
        <f>"31.12."&amp;Year-1</f>
        <v>31.12.2023</v>
      </c>
      <c r="L5" s="402"/>
      <c r="M5" s="404" t="str">
        <f>"31.12."&amp;Year-1</f>
        <v>31.12.2023</v>
      </c>
    </row>
    <row r="6" spans="1:13" ht="14.25" customHeight="1" x14ac:dyDescent="0.25">
      <c r="B6" s="393">
        <f>ROW(B$254)-ROW(B$6)</f>
        <v>248</v>
      </c>
      <c r="C6" s="394"/>
      <c r="D6" s="395"/>
      <c r="E6" s="396"/>
      <c r="F6" s="58"/>
    </row>
    <row r="7" spans="1:13" ht="14.25" customHeight="1" x14ac:dyDescent="0.25">
      <c r="B7" s="50">
        <f>ROW(B7)</f>
        <v>7</v>
      </c>
      <c r="C7" s="216"/>
      <c r="D7" s="50"/>
      <c r="E7" s="142" t="str">
        <f>VLOOKUP("T.08.08",Translation,LanguageNo+1,FALSE)</f>
        <v>1.1 Kapitalanlagen</v>
      </c>
      <c r="F7" s="100"/>
      <c r="G7" s="100"/>
      <c r="H7" s="100"/>
      <c r="I7" s="217"/>
      <c r="J7" s="99"/>
      <c r="K7" s="217"/>
      <c r="L7" s="217"/>
      <c r="M7" s="217"/>
    </row>
    <row r="8" spans="1:13" ht="14.25" customHeight="1" x14ac:dyDescent="0.25">
      <c r="B8" s="50">
        <f t="shared" ref="B8:B71" si="0">ROW(B8)</f>
        <v>8</v>
      </c>
      <c r="C8" s="216"/>
      <c r="D8" s="354">
        <v>101100000</v>
      </c>
      <c r="E8" s="81" t="str">
        <f>VLOOKUP("T.08.09",Translation,LanguageNo+1,FALSE)</f>
        <v>1.1.1 Immobilien</v>
      </c>
      <c r="F8" s="99">
        <f>SUM(F9:F17)</f>
        <v>0</v>
      </c>
      <c r="G8" s="99"/>
      <c r="H8" s="99"/>
      <c r="I8" s="100">
        <f>SUM(I9:I17)</f>
        <v>0</v>
      </c>
      <c r="J8" s="218">
        <f>SUM(J9:J17)</f>
        <v>0</v>
      </c>
      <c r="K8" s="100">
        <f>SUM(K9:K17)</f>
        <v>0</v>
      </c>
      <c r="L8" s="217">
        <f>$M8-$K8</f>
        <v>0</v>
      </c>
      <c r="M8" s="217">
        <f>'SST Balance Sheet BVG'!E8</f>
        <v>0</v>
      </c>
    </row>
    <row r="9" spans="1:13" ht="14.25" customHeight="1" x14ac:dyDescent="0.25">
      <c r="B9" s="50">
        <f t="shared" si="0"/>
        <v>9</v>
      </c>
      <c r="C9" s="219">
        <v>1</v>
      </c>
      <c r="D9" s="50"/>
      <c r="E9" s="80" t="str">
        <f>VLOOKUP("T.08.10",Translation,LanguageNo+1,FALSE)</f>
        <v>Wohnimmobilien: Inland</v>
      </c>
      <c r="F9" s="85"/>
      <c r="G9" s="48"/>
      <c r="H9" s="104"/>
      <c r="I9" s="217">
        <f t="shared" ref="I9:I17" si="1">IF(ISBLANK(B9),"",F9+SUMPRODUCT(--($G$6:$G$247=B9),$H$6:$H$247,$C$6:$C$247)*C9-H9)</f>
        <v>0</v>
      </c>
      <c r="J9" s="86"/>
      <c r="K9" s="217">
        <f>$I9+$J9</f>
        <v>0</v>
      </c>
      <c r="L9" s="217">
        <f t="shared" ref="L9:L17" si="2">$M9-$K9</f>
        <v>0</v>
      </c>
      <c r="M9" s="217">
        <f>'SST Balance Sheet BVG'!E9</f>
        <v>0</v>
      </c>
    </row>
    <row r="10" spans="1:13" ht="14.25" customHeight="1" x14ac:dyDescent="0.25">
      <c r="B10" s="50">
        <f t="shared" si="0"/>
        <v>10</v>
      </c>
      <c r="C10" s="219">
        <v>1</v>
      </c>
      <c r="D10" s="50"/>
      <c r="E10" s="80" t="str">
        <f>VLOOKUP("T.08.11",Translation,LanguageNo+1,FALSE)</f>
        <v>Wohnimmobilien Ausland</v>
      </c>
      <c r="F10" s="85"/>
      <c r="G10" s="48"/>
      <c r="H10" s="104"/>
      <c r="I10" s="217">
        <f t="shared" si="1"/>
        <v>0</v>
      </c>
      <c r="J10" s="86"/>
      <c r="K10" s="217">
        <f t="shared" ref="K10:K17" si="3">$I10+$J10</f>
        <v>0</v>
      </c>
      <c r="L10" s="217">
        <f t="shared" si="2"/>
        <v>0</v>
      </c>
      <c r="M10" s="217">
        <f>'SST Balance Sheet BVG'!E10</f>
        <v>0</v>
      </c>
    </row>
    <row r="11" spans="1:13" ht="14.25" customHeight="1" x14ac:dyDescent="0.25">
      <c r="B11" s="50">
        <f t="shared" si="0"/>
        <v>11</v>
      </c>
      <c r="C11" s="219">
        <v>1</v>
      </c>
      <c r="D11" s="50"/>
      <c r="E11" s="80" t="str">
        <f>VLOOKUP("T.08.12",Translation,LanguageNo+1,FALSE)</f>
        <v>Büro- und Verwaltungsbauten: Inland</v>
      </c>
      <c r="F11" s="85"/>
      <c r="G11" s="48"/>
      <c r="H11" s="104"/>
      <c r="I11" s="217">
        <f t="shared" si="1"/>
        <v>0</v>
      </c>
      <c r="J11" s="86"/>
      <c r="K11" s="217">
        <f t="shared" si="3"/>
        <v>0</v>
      </c>
      <c r="L11" s="217">
        <f t="shared" si="2"/>
        <v>0</v>
      </c>
      <c r="M11" s="217">
        <f>'SST Balance Sheet BVG'!E11</f>
        <v>0</v>
      </c>
    </row>
    <row r="12" spans="1:13" ht="14.25" customHeight="1" x14ac:dyDescent="0.25">
      <c r="B12" s="50">
        <f t="shared" si="0"/>
        <v>12</v>
      </c>
      <c r="C12" s="219">
        <v>1</v>
      </c>
      <c r="D12" s="50"/>
      <c r="E12" s="80" t="str">
        <f>VLOOKUP("T.08.13",Translation,LanguageNo+1,FALSE)</f>
        <v>Büro- und Verwaltungsbauten: Ausland</v>
      </c>
      <c r="F12" s="85"/>
      <c r="G12" s="48"/>
      <c r="H12" s="104"/>
      <c r="I12" s="217">
        <f t="shared" si="1"/>
        <v>0</v>
      </c>
      <c r="J12" s="86"/>
      <c r="K12" s="217">
        <f t="shared" si="3"/>
        <v>0</v>
      </c>
      <c r="L12" s="217">
        <f t="shared" si="2"/>
        <v>0</v>
      </c>
      <c r="M12" s="217">
        <f>'SST Balance Sheet BVG'!E12</f>
        <v>0</v>
      </c>
    </row>
    <row r="13" spans="1:13" ht="14.25" customHeight="1" x14ac:dyDescent="0.25">
      <c r="B13" s="50">
        <f t="shared" si="0"/>
        <v>13</v>
      </c>
      <c r="C13" s="219">
        <v>1</v>
      </c>
      <c r="D13" s="50"/>
      <c r="E13" s="80" t="str">
        <f>VLOOKUP("T.08.14",Translation,LanguageNo+1,FALSE)</f>
        <v>Gemischtgenutzte Immobilien: Inland</v>
      </c>
      <c r="F13" s="85"/>
      <c r="G13" s="48"/>
      <c r="H13" s="104"/>
      <c r="I13" s="217">
        <f t="shared" si="1"/>
        <v>0</v>
      </c>
      <c r="J13" s="86"/>
      <c r="K13" s="217">
        <f t="shared" si="3"/>
        <v>0</v>
      </c>
      <c r="L13" s="217">
        <f t="shared" si="2"/>
        <v>0</v>
      </c>
      <c r="M13" s="217">
        <f>'SST Balance Sheet BVG'!E13</f>
        <v>0</v>
      </c>
    </row>
    <row r="14" spans="1:13" ht="14.25" customHeight="1" x14ac:dyDescent="0.25">
      <c r="B14" s="50">
        <f t="shared" si="0"/>
        <v>14</v>
      </c>
      <c r="C14" s="219">
        <v>1</v>
      </c>
      <c r="D14" s="50"/>
      <c r="E14" s="91" t="str">
        <f>VLOOKUP("T.08.15",Translation,LanguageNo+1,FALSE)</f>
        <v>Angefangene Bauten: Inland</v>
      </c>
      <c r="F14" s="85"/>
      <c r="G14" s="48"/>
      <c r="H14" s="104"/>
      <c r="I14" s="217">
        <f t="shared" si="1"/>
        <v>0</v>
      </c>
      <c r="J14" s="86"/>
      <c r="K14" s="217">
        <f t="shared" si="3"/>
        <v>0</v>
      </c>
      <c r="L14" s="217">
        <f t="shared" si="2"/>
        <v>0</v>
      </c>
      <c r="M14" s="217">
        <f>'SST Balance Sheet BVG'!E14</f>
        <v>0</v>
      </c>
    </row>
    <row r="15" spans="1:13" ht="14.25" customHeight="1" x14ac:dyDescent="0.25">
      <c r="B15" s="50">
        <f t="shared" si="0"/>
        <v>15</v>
      </c>
      <c r="C15" s="219">
        <v>1</v>
      </c>
      <c r="D15" s="50"/>
      <c r="E15" s="91" t="str">
        <f>VLOOKUP("T.08.16",Translation,LanguageNo+1,FALSE)</f>
        <v>Bauland: Inland</v>
      </c>
      <c r="F15" s="85"/>
      <c r="G15" s="48"/>
      <c r="H15" s="104"/>
      <c r="I15" s="217">
        <f t="shared" si="1"/>
        <v>0</v>
      </c>
      <c r="J15" s="86"/>
      <c r="K15" s="217">
        <f t="shared" si="3"/>
        <v>0</v>
      </c>
      <c r="L15" s="217">
        <f t="shared" si="2"/>
        <v>0</v>
      </c>
      <c r="M15" s="217">
        <f>'SST Balance Sheet BVG'!E15</f>
        <v>0</v>
      </c>
    </row>
    <row r="16" spans="1:13" ht="14.25" customHeight="1" x14ac:dyDescent="0.25">
      <c r="B16" s="50">
        <f t="shared" si="0"/>
        <v>16</v>
      </c>
      <c r="C16" s="219">
        <v>1</v>
      </c>
      <c r="D16" s="50" t="s">
        <v>181</v>
      </c>
      <c r="E16" s="80" t="str">
        <f>VLOOKUP("T.08.17",Translation,LanguageNo+1,FALSE)</f>
        <v>Übrige Immobilien: Inland</v>
      </c>
      <c r="F16" s="85"/>
      <c r="G16" s="48"/>
      <c r="H16" s="104"/>
      <c r="I16" s="217">
        <f t="shared" si="1"/>
        <v>0</v>
      </c>
      <c r="J16" s="86"/>
      <c r="K16" s="217">
        <f t="shared" si="3"/>
        <v>0</v>
      </c>
      <c r="L16" s="217">
        <f t="shared" si="2"/>
        <v>0</v>
      </c>
      <c r="M16" s="217">
        <f>'SST Balance Sheet BVG'!E16</f>
        <v>0</v>
      </c>
    </row>
    <row r="17" spans="2:13" ht="14.25" customHeight="1" x14ac:dyDescent="0.25">
      <c r="B17" s="50">
        <f t="shared" si="0"/>
        <v>17</v>
      </c>
      <c r="C17" s="219">
        <v>1</v>
      </c>
      <c r="D17" s="50" t="s">
        <v>181</v>
      </c>
      <c r="E17" s="80" t="str">
        <f>VLOOKUP("T.08.18",Translation,LanguageNo+1,FALSE)</f>
        <v>Übrige Immobilien: Ausland</v>
      </c>
      <c r="F17" s="92"/>
      <c r="G17" s="143"/>
      <c r="H17" s="121"/>
      <c r="I17" s="217">
        <f t="shared" si="1"/>
        <v>0</v>
      </c>
      <c r="J17" s="220"/>
      <c r="K17" s="217">
        <f t="shared" si="3"/>
        <v>0</v>
      </c>
      <c r="L17" s="217">
        <f t="shared" si="2"/>
        <v>0</v>
      </c>
      <c r="M17" s="217">
        <f>'SST Balance Sheet BVG'!E17</f>
        <v>0</v>
      </c>
    </row>
    <row r="18" spans="2:13" ht="14.25" customHeight="1" x14ac:dyDescent="0.25">
      <c r="B18" s="222"/>
      <c r="C18" s="221"/>
      <c r="D18" s="94"/>
      <c r="E18" s="95"/>
      <c r="F18" s="96"/>
      <c r="G18" s="96"/>
      <c r="H18" s="96"/>
      <c r="I18" s="222"/>
      <c r="J18" s="96"/>
      <c r="K18" s="222"/>
      <c r="L18" s="222"/>
      <c r="M18" s="222"/>
    </row>
    <row r="19" spans="2:13" ht="14.25" customHeight="1" x14ac:dyDescent="0.25">
      <c r="B19" s="50">
        <f t="shared" si="0"/>
        <v>19</v>
      </c>
      <c r="C19" s="223"/>
      <c r="D19" s="354">
        <v>101200000</v>
      </c>
      <c r="E19" s="81" t="str">
        <f>VLOOKUP("T.08.19",Translation,LanguageNo+1,FALSE)</f>
        <v>1.1.2 Beteiligungen</v>
      </c>
      <c r="F19" s="100">
        <f>F20+F24</f>
        <v>0</v>
      </c>
      <c r="G19" s="100"/>
      <c r="H19" s="100"/>
      <c r="I19" s="100">
        <f>I20+I24</f>
        <v>0</v>
      </c>
      <c r="J19" s="100">
        <f>J20+J24</f>
        <v>0</v>
      </c>
      <c r="K19" s="100">
        <f>K20+K24</f>
        <v>0</v>
      </c>
      <c r="L19" s="217">
        <f t="shared" ref="L19:L22" si="4">$M19-$K19</f>
        <v>0</v>
      </c>
      <c r="M19" s="217">
        <f>'SST Balance Sheet BVG'!E19</f>
        <v>0</v>
      </c>
    </row>
    <row r="20" spans="2:13" ht="14.25" customHeight="1" x14ac:dyDescent="0.25">
      <c r="B20" s="50">
        <f t="shared" si="0"/>
        <v>20</v>
      </c>
      <c r="C20" s="216"/>
      <c r="D20" s="354" t="s">
        <v>1399</v>
      </c>
      <c r="E20" s="98" t="str">
        <f>VLOOKUP("T.08.20",Translation,LanguageNo+1,FALSE)</f>
        <v>Beteiligungen: Quote &gt; 50 %</v>
      </c>
      <c r="F20" s="99">
        <f>SUM(F21:F22)</f>
        <v>0</v>
      </c>
      <c r="G20" s="99"/>
      <c r="H20" s="99"/>
      <c r="I20" s="100">
        <f>SUM(I21:I22)</f>
        <v>0</v>
      </c>
      <c r="J20" s="99">
        <f>SUM(J21:J22)</f>
        <v>0</v>
      </c>
      <c r="K20" s="100">
        <f>SUM(K21:K22)</f>
        <v>0</v>
      </c>
      <c r="L20" s="217">
        <f t="shared" si="4"/>
        <v>0</v>
      </c>
      <c r="M20" s="217">
        <f>'SST Balance Sheet BVG'!E20</f>
        <v>0</v>
      </c>
    </row>
    <row r="21" spans="2:13" ht="14.25" customHeight="1" x14ac:dyDescent="0.25">
      <c r="B21" s="50">
        <f t="shared" si="0"/>
        <v>21</v>
      </c>
      <c r="C21" s="219">
        <v>1</v>
      </c>
      <c r="D21" s="307"/>
      <c r="E21" s="88" t="str">
        <f>VLOOKUP("T.08.21",Translation,LanguageNo+1,FALSE)</f>
        <v>Beteiligungen an Versicherungsgesellschaften</v>
      </c>
      <c r="F21" s="85"/>
      <c r="G21" s="48"/>
      <c r="H21" s="104"/>
      <c r="I21" s="217">
        <f>IF(ISBLANK(B21),"",F21+SUMPRODUCT(--($G$6:$G$247=B21),$H$6:$H$247,$C$6:$C$247)*C21-H21)</f>
        <v>0</v>
      </c>
      <c r="J21" s="86"/>
      <c r="K21" s="217">
        <f t="shared" ref="K21:K22" si="5">$I21+$J21</f>
        <v>0</v>
      </c>
      <c r="L21" s="217">
        <f t="shared" si="4"/>
        <v>0</v>
      </c>
      <c r="M21" s="217">
        <f>'SST Balance Sheet BVG'!E21</f>
        <v>0</v>
      </c>
    </row>
    <row r="22" spans="2:13" ht="14.25" customHeight="1" x14ac:dyDescent="0.25">
      <c r="B22" s="50">
        <f t="shared" si="0"/>
        <v>22</v>
      </c>
      <c r="C22" s="219">
        <v>1</v>
      </c>
      <c r="D22" s="50"/>
      <c r="E22" s="88" t="str">
        <f>VLOOKUP("T.08.22",Translation,LanguageNo+1,FALSE)</f>
        <v>Übrige Beteiligungen</v>
      </c>
      <c r="F22" s="92"/>
      <c r="G22" s="143"/>
      <c r="H22" s="121"/>
      <c r="I22" s="217">
        <f>IF(ISBLANK(B22),"",F22+SUMPRODUCT(--($G$6:$G$247=B22),$H$6:$H$247,$C$6:$C$247)*C22-H22)</f>
        <v>0</v>
      </c>
      <c r="J22" s="220"/>
      <c r="K22" s="217">
        <f t="shared" si="5"/>
        <v>0</v>
      </c>
      <c r="L22" s="217">
        <f t="shared" si="4"/>
        <v>0</v>
      </c>
      <c r="M22" s="217">
        <f>'SST Balance Sheet BVG'!E22</f>
        <v>0</v>
      </c>
    </row>
    <row r="23" spans="2:13" ht="14.25" customHeight="1" x14ac:dyDescent="0.25">
      <c r="B23" s="101"/>
      <c r="C23" s="224"/>
      <c r="D23" s="101"/>
      <c r="E23" s="95"/>
      <c r="F23" s="96"/>
      <c r="G23" s="96"/>
      <c r="H23" s="96"/>
      <c r="I23" s="222"/>
      <c r="J23" s="96"/>
      <c r="K23" s="222"/>
      <c r="L23" s="222"/>
      <c r="M23" s="222"/>
    </row>
    <row r="24" spans="2:13" ht="14.25" customHeight="1" x14ac:dyDescent="0.25">
      <c r="B24" s="50">
        <f t="shared" si="0"/>
        <v>24</v>
      </c>
      <c r="C24" s="216"/>
      <c r="D24" s="354" t="s">
        <v>1400</v>
      </c>
      <c r="E24" s="98" t="str">
        <f>VLOOKUP("T.08.23",Translation,LanguageNo+1,FALSE)</f>
        <v>Beteiligungen: Quote 20 % bis 50 %</v>
      </c>
      <c r="F24" s="99">
        <f>SUM(F25:F26)</f>
        <v>0</v>
      </c>
      <c r="G24" s="99"/>
      <c r="H24" s="99"/>
      <c r="I24" s="100">
        <f>SUM(I25:I26)</f>
        <v>0</v>
      </c>
      <c r="J24" s="99">
        <f>SUM(J25:J26)</f>
        <v>0</v>
      </c>
      <c r="K24" s="100">
        <f>SUM(K25:K26)</f>
        <v>0</v>
      </c>
      <c r="L24" s="217">
        <f t="shared" ref="L24:L26" si="6">$M24-$K24</f>
        <v>0</v>
      </c>
      <c r="M24" s="217">
        <f>'SST Balance Sheet BVG'!E24</f>
        <v>0</v>
      </c>
    </row>
    <row r="25" spans="2:13" ht="14.25" customHeight="1" x14ac:dyDescent="0.25">
      <c r="B25" s="50">
        <f t="shared" si="0"/>
        <v>25</v>
      </c>
      <c r="C25" s="219">
        <v>1</v>
      </c>
      <c r="D25" s="307"/>
      <c r="E25" s="88" t="str">
        <f>VLOOKUP("T.08.24",Translation,LanguageNo+1,FALSE)</f>
        <v>Beteiligungen an Versicherungsgesellschaften</v>
      </c>
      <c r="F25" s="85"/>
      <c r="G25" s="48"/>
      <c r="H25" s="104"/>
      <c r="I25" s="217">
        <f>IF(ISBLANK(B25),"",F25+SUMPRODUCT(--($G$6:$G$247=B25),$H$6:$H$247,$C$6:$C$247)*C25-H25)</f>
        <v>0</v>
      </c>
      <c r="J25" s="86"/>
      <c r="K25" s="217">
        <f t="shared" ref="K25:K26" si="7">$I25+$J25</f>
        <v>0</v>
      </c>
      <c r="L25" s="217">
        <f t="shared" si="6"/>
        <v>0</v>
      </c>
      <c r="M25" s="217">
        <f>'SST Balance Sheet BVG'!E25</f>
        <v>0</v>
      </c>
    </row>
    <row r="26" spans="2:13" ht="14.25" customHeight="1" x14ac:dyDescent="0.25">
      <c r="B26" s="50">
        <f t="shared" si="0"/>
        <v>26</v>
      </c>
      <c r="C26" s="219">
        <v>1</v>
      </c>
      <c r="D26" s="50"/>
      <c r="E26" s="88" t="str">
        <f>VLOOKUP("T.08.25",Translation,LanguageNo+1,FALSE)</f>
        <v>Übrige Beteiligungen</v>
      </c>
      <c r="F26" s="85"/>
      <c r="G26" s="48"/>
      <c r="H26" s="104"/>
      <c r="I26" s="217">
        <f>IF(ISBLANK(B26),"",F26+SUMPRODUCT(--($G$6:$G$247=B26),$H$6:$H$247,$C$6:$C$247)*C26-H26)</f>
        <v>0</v>
      </c>
      <c r="J26" s="86"/>
      <c r="K26" s="217">
        <f t="shared" si="7"/>
        <v>0</v>
      </c>
      <c r="L26" s="217">
        <f t="shared" si="6"/>
        <v>0</v>
      </c>
      <c r="M26" s="217">
        <f>'SST Balance Sheet BVG'!E26</f>
        <v>0</v>
      </c>
    </row>
    <row r="27" spans="2:13" ht="14.25" customHeight="1" x14ac:dyDescent="0.25">
      <c r="B27" s="101"/>
      <c r="C27" s="224"/>
      <c r="D27" s="101"/>
      <c r="E27" s="95"/>
      <c r="F27" s="96"/>
      <c r="G27" s="96"/>
      <c r="H27" s="96"/>
      <c r="I27" s="222"/>
      <c r="J27" s="96"/>
      <c r="K27" s="222"/>
      <c r="L27" s="222"/>
      <c r="M27" s="222"/>
    </row>
    <row r="28" spans="2:13" ht="14.25" customHeight="1" x14ac:dyDescent="0.25">
      <c r="B28" s="50">
        <f t="shared" si="0"/>
        <v>28</v>
      </c>
      <c r="C28" s="216"/>
      <c r="D28" s="354">
        <v>101300000</v>
      </c>
      <c r="E28" s="81" t="str">
        <f>VLOOKUP("T.08.26",Translation,LanguageNo+1,FALSE)</f>
        <v>1.1.3 Festverzinsliche Wertpapiere</v>
      </c>
      <c r="F28" s="99">
        <f>F29+F32+SUM(F34:F36)</f>
        <v>0</v>
      </c>
      <c r="G28" s="99"/>
      <c r="H28" s="99"/>
      <c r="I28" s="100">
        <f>I29+I32+SUM(I34:I36)</f>
        <v>0</v>
      </c>
      <c r="J28" s="99">
        <f>J29+J32+SUM(J34:J36)</f>
        <v>0</v>
      </c>
      <c r="K28" s="100">
        <f>K29+K32+SUM(K34:K36)</f>
        <v>0</v>
      </c>
      <c r="L28" s="217">
        <f t="shared" ref="L28:L29" si="8">$M28-$K28</f>
        <v>0</v>
      </c>
      <c r="M28" s="217">
        <f>'SST Balance Sheet BVG'!E28</f>
        <v>0</v>
      </c>
    </row>
    <row r="29" spans="2:13" ht="14.25" customHeight="1" x14ac:dyDescent="0.25">
      <c r="B29" s="50">
        <f t="shared" si="0"/>
        <v>29</v>
      </c>
      <c r="C29" s="219">
        <v>1</v>
      </c>
      <c r="D29" s="354" t="s">
        <v>1401</v>
      </c>
      <c r="E29" s="80" t="str">
        <f>VLOOKUP("T.08.27",Translation,LanguageNo+1,FALSE)</f>
        <v>Staats- und Zentralbankenanleihen</v>
      </c>
      <c r="F29" s="86"/>
      <c r="G29" s="85"/>
      <c r="H29" s="104"/>
      <c r="I29" s="217">
        <f>IF(ISBLANK(B29),"",F29+SUMPRODUCT(--($G$6:$G$247=B29),$H$6:$H$247,$C$6:$C$247)*C29-H29)</f>
        <v>0</v>
      </c>
      <c r="J29" s="86"/>
      <c r="K29" s="217">
        <f t="shared" ref="K29" si="9">$I29+$J29</f>
        <v>0</v>
      </c>
      <c r="L29" s="217">
        <f t="shared" si="8"/>
        <v>0</v>
      </c>
      <c r="M29" s="217">
        <f>'SST Balance Sheet BVG'!E29</f>
        <v>0</v>
      </c>
    </row>
    <row r="30" spans="2:13" ht="14.25" customHeight="1" x14ac:dyDescent="0.25">
      <c r="B30" s="50">
        <f t="shared" si="0"/>
        <v>30</v>
      </c>
      <c r="C30" s="225"/>
      <c r="D30" s="125"/>
      <c r="E30" s="108" t="str">
        <f>VLOOKUP("T.08.28",Translation,LanguageNo+1,FALSE)</f>
        <v>davon Schweizer Kantone und Gemeinden</v>
      </c>
      <c r="F30" s="86"/>
      <c r="G30" s="226"/>
      <c r="H30" s="226"/>
      <c r="I30" s="217"/>
      <c r="J30" s="226"/>
      <c r="K30" s="217"/>
      <c r="L30" s="217"/>
      <c r="M30" s="217"/>
    </row>
    <row r="31" spans="2:13" ht="14.25" customHeight="1" x14ac:dyDescent="0.25">
      <c r="B31" s="50">
        <f t="shared" si="0"/>
        <v>31</v>
      </c>
      <c r="C31" s="225"/>
      <c r="D31" s="125"/>
      <c r="E31" s="108" t="str">
        <f>VLOOKUP("T.08.29",Translation,LanguageNo+1,FALSE)</f>
        <v>davon andere öffentliche Körperschaften</v>
      </c>
      <c r="F31" s="86"/>
      <c r="G31" s="135"/>
      <c r="H31" s="135"/>
      <c r="I31" s="217"/>
      <c r="J31" s="135"/>
      <c r="K31" s="217"/>
      <c r="L31" s="217"/>
      <c r="M31" s="217"/>
    </row>
    <row r="32" spans="2:13" ht="14.25" customHeight="1" x14ac:dyDescent="0.25">
      <c r="B32" s="50">
        <f t="shared" si="0"/>
        <v>32</v>
      </c>
      <c r="C32" s="219">
        <v>1</v>
      </c>
      <c r="D32" s="354" t="s">
        <v>1402</v>
      </c>
      <c r="E32" s="80" t="str">
        <f>VLOOKUP("T.08.30",Translation,LanguageNo+1,FALSE)</f>
        <v>Unternehmensanleihen</v>
      </c>
      <c r="F32" s="86"/>
      <c r="G32" s="85"/>
      <c r="H32" s="104"/>
      <c r="I32" s="217">
        <f>IF(ISBLANK(B32),"",F32+SUMPRODUCT(--($G$6:$G$247=B32),$H$6:$H$247,$C$6:$C$247)*C32-H32)</f>
        <v>0</v>
      </c>
      <c r="J32" s="86"/>
      <c r="K32" s="217">
        <f t="shared" ref="K32" si="10">$I32+$J32</f>
        <v>0</v>
      </c>
      <c r="L32" s="217">
        <f t="shared" ref="L32:L67" si="11">$M32-$K32</f>
        <v>0</v>
      </c>
      <c r="M32" s="217">
        <f>'SST Balance Sheet BVG'!E32</f>
        <v>0</v>
      </c>
    </row>
    <row r="33" spans="2:13" ht="14.25" customHeight="1" x14ac:dyDescent="0.25">
      <c r="B33" s="50">
        <f t="shared" si="0"/>
        <v>33</v>
      </c>
      <c r="C33" s="216"/>
      <c r="D33" s="50"/>
      <c r="E33" s="108" t="str">
        <f>VLOOKUP("T.08.31",Translation,LanguageNo+1,FALSE)</f>
        <v>davon Banken und Effektenhändler</v>
      </c>
      <c r="F33" s="86"/>
      <c r="G33" s="49"/>
      <c r="H33" s="49"/>
      <c r="I33" s="217"/>
      <c r="J33" s="49"/>
      <c r="K33" s="217"/>
      <c r="L33" s="217"/>
      <c r="M33" s="217"/>
    </row>
    <row r="34" spans="2:13" ht="14.25" customHeight="1" x14ac:dyDescent="0.25">
      <c r="B34" s="50">
        <f t="shared" si="0"/>
        <v>34</v>
      </c>
      <c r="C34" s="219">
        <v>1</v>
      </c>
      <c r="D34" s="354" t="s">
        <v>1403</v>
      </c>
      <c r="E34" s="50" t="str">
        <f>VLOOKUP("T.08.32",Translation,LanguageNo+1,FALSE)</f>
        <v>Pfandbriefanleihen / Covered Bonds</v>
      </c>
      <c r="F34" s="86"/>
      <c r="G34" s="85"/>
      <c r="H34" s="104"/>
      <c r="I34" s="217">
        <f>IF(ISBLANK(B34),"",F34+SUMPRODUCT(--($G$6:$G$247=B34),$H$6:$H$247,$C$6:$C$247)*C34-H34)</f>
        <v>0</v>
      </c>
      <c r="J34" s="86"/>
      <c r="K34" s="217">
        <f t="shared" ref="K34:K36" si="12">$I34+$J34</f>
        <v>0</v>
      </c>
      <c r="L34" s="217">
        <f t="shared" si="11"/>
        <v>0</v>
      </c>
      <c r="M34" s="217">
        <f>'SST Balance Sheet BVG'!E34</f>
        <v>0</v>
      </c>
    </row>
    <row r="35" spans="2:13" ht="14.25" customHeight="1" x14ac:dyDescent="0.25">
      <c r="B35" s="50">
        <f t="shared" si="0"/>
        <v>35</v>
      </c>
      <c r="C35" s="219">
        <v>1</v>
      </c>
      <c r="D35" s="354" t="s">
        <v>1398</v>
      </c>
      <c r="E35" s="50" t="str">
        <f>VLOOKUP("T.08.33",Translation,LanguageNo+1,FALSE)</f>
        <v>Wandelanleihen</v>
      </c>
      <c r="F35" s="86"/>
      <c r="G35" s="85"/>
      <c r="H35" s="104"/>
      <c r="I35" s="217">
        <f>IF(ISBLANK(B35),"",F35+SUMPRODUCT(--($G$6:$G$247=B35),$H$6:$H$247,$C$6:$C$247)*C35-H35)</f>
        <v>0</v>
      </c>
      <c r="J35" s="86"/>
      <c r="K35" s="217">
        <f t="shared" si="12"/>
        <v>0</v>
      </c>
      <c r="L35" s="217">
        <f t="shared" si="11"/>
        <v>0</v>
      </c>
      <c r="M35" s="217">
        <f>'SST Balance Sheet BVG'!E35</f>
        <v>0</v>
      </c>
    </row>
    <row r="36" spans="2:13" ht="14.25" customHeight="1" x14ac:dyDescent="0.25">
      <c r="B36" s="50">
        <f t="shared" si="0"/>
        <v>36</v>
      </c>
      <c r="C36" s="219">
        <v>1</v>
      </c>
      <c r="D36" s="50" t="s">
        <v>181</v>
      </c>
      <c r="E36" s="80" t="str">
        <f>VLOOKUP("T.08.34",Translation,LanguageNo+1,FALSE)</f>
        <v>Sonstige Anleihen (inkl. Optionsanleihen, supranationale Anleihen)</v>
      </c>
      <c r="F36" s="220"/>
      <c r="G36" s="92"/>
      <c r="H36" s="121"/>
      <c r="I36" s="217">
        <f>IF(ISBLANK(B36),"",F36+SUMPRODUCT(--($G$6:$G$247=B36),$H$6:$H$247,$C$6:$C$247)*C36-H36)</f>
        <v>0</v>
      </c>
      <c r="J36" s="220"/>
      <c r="K36" s="217">
        <f t="shared" si="12"/>
        <v>0</v>
      </c>
      <c r="L36" s="217">
        <f t="shared" si="11"/>
        <v>0</v>
      </c>
      <c r="M36" s="217">
        <f>'SST Balance Sheet BVG'!E36</f>
        <v>0</v>
      </c>
    </row>
    <row r="37" spans="2:13" ht="14.25" customHeight="1" x14ac:dyDescent="0.25">
      <c r="B37" s="158"/>
      <c r="C37" s="227"/>
      <c r="D37" s="102"/>
      <c r="E37" s="95"/>
      <c r="F37" s="96"/>
      <c r="G37" s="96"/>
      <c r="H37" s="96"/>
      <c r="I37" s="222"/>
      <c r="J37" s="96"/>
      <c r="K37" s="222"/>
      <c r="L37" s="222"/>
      <c r="M37" s="222"/>
    </row>
    <row r="38" spans="2:13" ht="14.25" customHeight="1" x14ac:dyDescent="0.25">
      <c r="B38" s="50">
        <f t="shared" si="0"/>
        <v>38</v>
      </c>
      <c r="C38" s="216"/>
      <c r="D38" s="354">
        <v>101400000</v>
      </c>
      <c r="E38" s="122" t="str">
        <f>VLOOKUP("T.08.35",Translation,LanguageNo+1,FALSE)</f>
        <v>1.1.4 Darlehen</v>
      </c>
      <c r="F38" s="135">
        <f>SUM(F39:F41)</f>
        <v>0</v>
      </c>
      <c r="G38" s="135"/>
      <c r="H38" s="135"/>
      <c r="I38" s="228">
        <f>SUM(I39:I41)</f>
        <v>0</v>
      </c>
      <c r="J38" s="135">
        <f>SUM(J39:J41)</f>
        <v>0</v>
      </c>
      <c r="K38" s="228">
        <f>SUM(K39:K41)</f>
        <v>0</v>
      </c>
      <c r="L38" s="217">
        <f t="shared" si="11"/>
        <v>0</v>
      </c>
      <c r="M38" s="217">
        <f>'SST Balance Sheet BVG'!E38</f>
        <v>0</v>
      </c>
    </row>
    <row r="39" spans="2:13" ht="14.25" customHeight="1" x14ac:dyDescent="0.25">
      <c r="B39" s="50">
        <f t="shared" si="0"/>
        <v>39</v>
      </c>
      <c r="C39" s="219">
        <v>1</v>
      </c>
      <c r="D39" s="125"/>
      <c r="E39" s="80" t="str">
        <f>VLOOKUP("T.08.36",Translation,LanguageNo+1,FALSE)</f>
        <v>Nachrangige Darlehen</v>
      </c>
      <c r="F39" s="85"/>
      <c r="G39" s="48"/>
      <c r="H39" s="104"/>
      <c r="I39" s="217">
        <f>IF(ISBLANK(B39),"",F39+SUMPRODUCT(--($G$6:$G$247=B39),$H$6:$H$247,$C$6:$C$247)*C39-H39)</f>
        <v>0</v>
      </c>
      <c r="J39" s="86"/>
      <c r="K39" s="217">
        <f t="shared" ref="K39:K41" si="13">$I39+$J39</f>
        <v>0</v>
      </c>
      <c r="L39" s="217">
        <f t="shared" si="11"/>
        <v>0</v>
      </c>
      <c r="M39" s="217">
        <f>'SST Balance Sheet BVG'!E39</f>
        <v>0</v>
      </c>
    </row>
    <row r="40" spans="2:13" ht="14.25" customHeight="1" x14ac:dyDescent="0.25">
      <c r="B40" s="50">
        <f t="shared" si="0"/>
        <v>40</v>
      </c>
      <c r="C40" s="219">
        <v>1</v>
      </c>
      <c r="D40" s="354">
        <v>101410000</v>
      </c>
      <c r="E40" s="80" t="str">
        <f>VLOOKUP("T.08.37",Translation,LanguageNo+1,FALSE)</f>
        <v>Policendarlehen</v>
      </c>
      <c r="F40" s="85"/>
      <c r="G40" s="48"/>
      <c r="H40" s="104"/>
      <c r="I40" s="217">
        <f>IF(ISBLANK(B40),"",F40+SUMPRODUCT(--($G$6:$G$247=B40),$H$6:$H$247,$C$6:$C$247)*C40-H40)</f>
        <v>0</v>
      </c>
      <c r="J40" s="86"/>
      <c r="K40" s="217">
        <f t="shared" si="13"/>
        <v>0</v>
      </c>
      <c r="L40" s="217">
        <f t="shared" si="11"/>
        <v>0</v>
      </c>
      <c r="M40" s="217">
        <f>'SST Balance Sheet BVG'!E40</f>
        <v>0</v>
      </c>
    </row>
    <row r="41" spans="2:13" ht="14.25" customHeight="1" x14ac:dyDescent="0.25">
      <c r="B41" s="50">
        <f t="shared" si="0"/>
        <v>41</v>
      </c>
      <c r="C41" s="219">
        <v>1</v>
      </c>
      <c r="D41" s="321"/>
      <c r="E41" s="80" t="str">
        <f>VLOOKUP("T.08.38",Translation,LanguageNo+1,FALSE)</f>
        <v>Sonstige Darlehen</v>
      </c>
      <c r="F41" s="92"/>
      <c r="G41" s="143"/>
      <c r="H41" s="121"/>
      <c r="I41" s="217">
        <f>IF(ISBLANK(B41),"",F41+SUMPRODUCT(--($G$6:$G$247=B41),$H$6:$H$247,$C$6:$C$247)*C41-H41)</f>
        <v>0</v>
      </c>
      <c r="J41" s="220"/>
      <c r="K41" s="217">
        <f t="shared" si="13"/>
        <v>0</v>
      </c>
      <c r="L41" s="217">
        <f t="shared" si="11"/>
        <v>0</v>
      </c>
      <c r="M41" s="217">
        <f>'SST Balance Sheet BVG'!E41</f>
        <v>0</v>
      </c>
    </row>
    <row r="42" spans="2:13" ht="14.25" customHeight="1" x14ac:dyDescent="0.25">
      <c r="B42" s="158"/>
      <c r="C42" s="227"/>
      <c r="D42" s="102"/>
      <c r="E42" s="124"/>
      <c r="F42" s="96"/>
      <c r="G42" s="96"/>
      <c r="H42" s="96"/>
      <c r="I42" s="222"/>
      <c r="J42" s="96"/>
      <c r="K42" s="222"/>
      <c r="L42" s="222"/>
      <c r="M42" s="222"/>
    </row>
    <row r="43" spans="2:13" ht="14.25" customHeight="1" x14ac:dyDescent="0.25">
      <c r="B43" s="50">
        <f t="shared" si="0"/>
        <v>43</v>
      </c>
      <c r="C43" s="216"/>
      <c r="D43" s="320">
        <v>101500000</v>
      </c>
      <c r="E43" s="122" t="str">
        <f>VLOOKUP("T.08.39",Translation,LanguageNo+1,FALSE)</f>
        <v>1.1.5 Hypotheken</v>
      </c>
      <c r="F43" s="100">
        <f>F44+F47</f>
        <v>0</v>
      </c>
      <c r="G43" s="100"/>
      <c r="H43" s="100"/>
      <c r="I43" s="100">
        <f>I44+I47</f>
        <v>0</v>
      </c>
      <c r="J43" s="100">
        <f>J44+J47</f>
        <v>0</v>
      </c>
      <c r="K43" s="100">
        <f>K44+K47</f>
        <v>0</v>
      </c>
      <c r="L43" s="217">
        <f t="shared" si="11"/>
        <v>0</v>
      </c>
      <c r="M43" s="217">
        <f>'SST Balance Sheet BVG'!E43</f>
        <v>0</v>
      </c>
    </row>
    <row r="44" spans="2:13" ht="14.25" customHeight="1" x14ac:dyDescent="0.25">
      <c r="B44" s="50">
        <f t="shared" si="0"/>
        <v>44</v>
      </c>
      <c r="C44" s="219"/>
      <c r="D44" s="307"/>
      <c r="E44" s="91" t="str">
        <f>VLOOKUP("T.08.40",Translation,LanguageNo+1,FALSE)</f>
        <v>Hypotheken bis 80 % des Verkehrswertes</v>
      </c>
      <c r="F44" s="99">
        <f>F45+F46</f>
        <v>0</v>
      </c>
      <c r="G44" s="99"/>
      <c r="H44" s="99"/>
      <c r="I44" s="100">
        <f>I45+I46</f>
        <v>0</v>
      </c>
      <c r="J44" s="99">
        <f>J45+J46</f>
        <v>0</v>
      </c>
      <c r="K44" s="100">
        <f>K45+K46</f>
        <v>0</v>
      </c>
      <c r="L44" s="217">
        <f t="shared" si="11"/>
        <v>0</v>
      </c>
      <c r="M44" s="217">
        <f>'SST Balance Sheet BVG'!E44</f>
        <v>0</v>
      </c>
    </row>
    <row r="45" spans="2:13" ht="14.25" customHeight="1" x14ac:dyDescent="0.25">
      <c r="B45" s="50">
        <f t="shared" si="0"/>
        <v>45</v>
      </c>
      <c r="C45" s="219">
        <v>1</v>
      </c>
      <c r="D45" s="125"/>
      <c r="E45" s="108" t="str">
        <f>VLOOKUP("T.08.41",Translation,LanguageNo+1,FALSE)</f>
        <v>mit festen Zinssätzen</v>
      </c>
      <c r="F45" s="85"/>
      <c r="G45" s="48"/>
      <c r="H45" s="104"/>
      <c r="I45" s="217">
        <f>IF(ISBLANK(B45),"",F45+SUMPRODUCT(--($G$6:$G$247=B45),$H$6:$H$247,$C$6:$C$247)*C45-H45)</f>
        <v>0</v>
      </c>
      <c r="J45" s="86"/>
      <c r="K45" s="217">
        <f t="shared" ref="K45:K49" si="14">$I45+$J45</f>
        <v>0</v>
      </c>
      <c r="L45" s="328">
        <f t="shared" si="11"/>
        <v>0</v>
      </c>
      <c r="M45" s="217">
        <f>'SST Balance Sheet BVG'!E45</f>
        <v>0</v>
      </c>
    </row>
    <row r="46" spans="2:13" ht="14.25" customHeight="1" x14ac:dyDescent="0.25">
      <c r="B46" s="50">
        <f t="shared" si="0"/>
        <v>46</v>
      </c>
      <c r="C46" s="219">
        <v>1</v>
      </c>
      <c r="D46" s="125"/>
      <c r="E46" s="126" t="str">
        <f>VLOOKUP("T.08.42",Translation,LanguageNo+1,FALSE)</f>
        <v>mit variablen Zinssätzen</v>
      </c>
      <c r="F46" s="85"/>
      <c r="G46" s="48"/>
      <c r="H46" s="104"/>
      <c r="I46" s="217">
        <f>IF(ISBLANK(B46),"",F46+SUMPRODUCT(--($G$6:$G$247=B46),$H$6:$H$247,$C$6:$C$247)*C46-H46)</f>
        <v>0</v>
      </c>
      <c r="J46" s="220"/>
      <c r="K46" s="217">
        <f t="shared" si="14"/>
        <v>0</v>
      </c>
      <c r="L46" s="328">
        <f t="shared" si="11"/>
        <v>0</v>
      </c>
      <c r="M46" s="217">
        <f>'SST Balance Sheet BVG'!E46</f>
        <v>0</v>
      </c>
    </row>
    <row r="47" spans="2:13" ht="14.25" customHeight="1" x14ac:dyDescent="0.25">
      <c r="B47" s="50">
        <f t="shared" si="0"/>
        <v>47</v>
      </c>
      <c r="C47" s="219"/>
      <c r="D47" s="125"/>
      <c r="E47" s="91" t="str">
        <f>VLOOKUP("T.08.43",Translation,LanguageNo+1,FALSE)</f>
        <v>Hypotheken mehr als 80 % des Verkehrswertes</v>
      </c>
      <c r="F47" s="127">
        <f>F48+F49</f>
        <v>0</v>
      </c>
      <c r="G47" s="127"/>
      <c r="H47" s="127"/>
      <c r="I47" s="100">
        <f>I48+I49</f>
        <v>0</v>
      </c>
      <c r="J47" s="99">
        <f>J48+J49</f>
        <v>0</v>
      </c>
      <c r="K47" s="100">
        <f>K48+K49</f>
        <v>0</v>
      </c>
      <c r="L47" s="217">
        <f t="shared" si="11"/>
        <v>0</v>
      </c>
      <c r="M47" s="217">
        <f>'SST Balance Sheet BVG'!E47</f>
        <v>0</v>
      </c>
    </row>
    <row r="48" spans="2:13" ht="14.25" customHeight="1" x14ac:dyDescent="0.25">
      <c r="B48" s="50">
        <f t="shared" si="0"/>
        <v>48</v>
      </c>
      <c r="C48" s="219">
        <v>1</v>
      </c>
      <c r="D48" s="307"/>
      <c r="E48" s="108" t="str">
        <f>VLOOKUP("T.08.44",Translation,LanguageNo+1,FALSE)</f>
        <v>mit festen Zinssätzen</v>
      </c>
      <c r="F48" s="85"/>
      <c r="G48" s="48"/>
      <c r="H48" s="104"/>
      <c r="I48" s="217">
        <f>IF(ISBLANK(B48),"",F48+SUMPRODUCT(--($G$6:$G$247=B48),$H$6:$H$247,$C$6:$C$247)*C48-H48)</f>
        <v>0</v>
      </c>
      <c r="J48" s="86"/>
      <c r="K48" s="217">
        <f t="shared" si="14"/>
        <v>0</v>
      </c>
      <c r="L48" s="328">
        <f t="shared" si="11"/>
        <v>0</v>
      </c>
      <c r="M48" s="217">
        <f>'SST Balance Sheet BVG'!E48</f>
        <v>0</v>
      </c>
    </row>
    <row r="49" spans="2:13" ht="14.25" customHeight="1" x14ac:dyDescent="0.25">
      <c r="B49" s="50">
        <f t="shared" si="0"/>
        <v>49</v>
      </c>
      <c r="C49" s="219">
        <v>1</v>
      </c>
      <c r="D49" s="125"/>
      <c r="E49" s="108" t="str">
        <f>VLOOKUP("T.08.45",Translation,LanguageNo+1,FALSE)</f>
        <v>mit variablen Zinssätzen</v>
      </c>
      <c r="F49" s="92"/>
      <c r="G49" s="143"/>
      <c r="H49" s="121"/>
      <c r="I49" s="217">
        <f>IF(ISBLANK(B49),"",F49+SUMPRODUCT(--($G$6:$G$247=B49),$H$6:$H$247,$C$6:$C$247)*C49-H49)</f>
        <v>0</v>
      </c>
      <c r="J49" s="220"/>
      <c r="K49" s="217">
        <f t="shared" si="14"/>
        <v>0</v>
      </c>
      <c r="L49" s="328">
        <f t="shared" si="11"/>
        <v>0</v>
      </c>
      <c r="M49" s="217">
        <f>'SST Balance Sheet BVG'!E49</f>
        <v>0</v>
      </c>
    </row>
    <row r="50" spans="2:13" ht="14.25" customHeight="1" x14ac:dyDescent="0.25">
      <c r="B50" s="94"/>
      <c r="C50" s="221"/>
      <c r="D50" s="94"/>
      <c r="E50" s="128"/>
      <c r="F50" s="129"/>
      <c r="G50" s="129"/>
      <c r="H50" s="129"/>
      <c r="I50" s="222"/>
      <c r="J50" s="129"/>
      <c r="K50" s="222"/>
      <c r="L50" s="222"/>
      <c r="M50" s="222"/>
    </row>
    <row r="51" spans="2:13" ht="14.25" customHeight="1" x14ac:dyDescent="0.25">
      <c r="B51" s="50">
        <f t="shared" si="0"/>
        <v>51</v>
      </c>
      <c r="C51" s="223"/>
      <c r="D51" s="320">
        <v>101600000</v>
      </c>
      <c r="E51" s="130" t="str">
        <f>VLOOKUP("T.08.46",Translation,LanguageNo+1,FALSE)</f>
        <v>1.1.6 Aktien</v>
      </c>
      <c r="F51" s="99">
        <f>SUM(F52:F54)</f>
        <v>0</v>
      </c>
      <c r="G51" s="99"/>
      <c r="H51" s="99"/>
      <c r="I51" s="100">
        <f>SUM(I52:I54)</f>
        <v>0</v>
      </c>
      <c r="J51" s="99">
        <f>SUM(J52:J54)</f>
        <v>0</v>
      </c>
      <c r="K51" s="100">
        <f>SUM(K52:K54)</f>
        <v>0</v>
      </c>
      <c r="L51" s="217">
        <f t="shared" si="11"/>
        <v>0</v>
      </c>
      <c r="M51" s="217">
        <f>'SST Balance Sheet BVG'!E51</f>
        <v>0</v>
      </c>
    </row>
    <row r="52" spans="2:13" ht="14.25" customHeight="1" x14ac:dyDescent="0.25">
      <c r="B52" s="50">
        <f t="shared" si="0"/>
        <v>52</v>
      </c>
      <c r="C52" s="219">
        <v>1</v>
      </c>
      <c r="D52" s="354" t="s">
        <v>1404</v>
      </c>
      <c r="E52" s="91" t="str">
        <f>VLOOKUP("T.08.47",Translation,LanguageNo+1,FALSE)</f>
        <v>Aktien und ähnliche Wertschriften</v>
      </c>
      <c r="F52" s="229"/>
      <c r="G52" s="136"/>
      <c r="H52" s="137"/>
      <c r="I52" s="217">
        <f>IF(ISBLANK(B52),"",F52+SUMPRODUCT(--($G$6:$G$247=B52),$H$6:$H$247,$C$6:$C$247)*C52-H52)</f>
        <v>0</v>
      </c>
      <c r="J52" s="86"/>
      <c r="K52" s="217">
        <f t="shared" ref="K52:K54" si="15">$I52+$J52</f>
        <v>0</v>
      </c>
      <c r="L52" s="217">
        <f t="shared" si="11"/>
        <v>0</v>
      </c>
      <c r="M52" s="217">
        <f>'SST Balance Sheet BVG'!E52</f>
        <v>0</v>
      </c>
    </row>
    <row r="53" spans="2:13" ht="14.25" customHeight="1" x14ac:dyDescent="0.25">
      <c r="B53" s="50">
        <f t="shared" si="0"/>
        <v>53</v>
      </c>
      <c r="C53" s="219">
        <v>1</v>
      </c>
      <c r="D53" s="354" t="s">
        <v>1405</v>
      </c>
      <c r="E53" s="50" t="str">
        <f>VLOOKUP("T.08.48",Translation,LanguageNo+1,FALSE)</f>
        <v>Aktien von Gruppengesellschaften</v>
      </c>
      <c r="F53" s="85"/>
      <c r="G53" s="48"/>
      <c r="H53" s="104"/>
      <c r="I53" s="217">
        <f>IF(ISBLANK(B53),"",F53+SUMPRODUCT(--($G$6:$G$247=B53),$H$6:$H$247,$C$6:$C$247)*C53-H53)</f>
        <v>0</v>
      </c>
      <c r="J53" s="86"/>
      <c r="K53" s="217">
        <f t="shared" si="15"/>
        <v>0</v>
      </c>
      <c r="L53" s="217">
        <f t="shared" si="11"/>
        <v>0</v>
      </c>
      <c r="M53" s="217">
        <f>'SST Balance Sheet BVG'!E53</f>
        <v>0</v>
      </c>
    </row>
    <row r="54" spans="2:13" ht="14.25" customHeight="1" x14ac:dyDescent="0.25">
      <c r="B54" s="50">
        <f t="shared" si="0"/>
        <v>54</v>
      </c>
      <c r="C54" s="219">
        <v>1</v>
      </c>
      <c r="D54" s="355" t="s">
        <v>1406</v>
      </c>
      <c r="E54" s="50" t="str">
        <f>VLOOKUP("T.08.49",Translation,LanguageNo+1,FALSE)</f>
        <v>Anlagen an Immobiliengesellschaften</v>
      </c>
      <c r="F54" s="92"/>
      <c r="G54" s="143"/>
      <c r="H54" s="121"/>
      <c r="I54" s="217">
        <f>IF(ISBLANK(B54),"",F54+SUMPRODUCT(--($G$6:$G$247=B54),$H$6:$H$247,$C$6:$C$247)*C54-H54)</f>
        <v>0</v>
      </c>
      <c r="J54" s="220"/>
      <c r="K54" s="217">
        <f t="shared" si="15"/>
        <v>0</v>
      </c>
      <c r="L54" s="217">
        <f t="shared" si="11"/>
        <v>0</v>
      </c>
      <c r="M54" s="217">
        <f>'SST Balance Sheet BVG'!E54</f>
        <v>0</v>
      </c>
    </row>
    <row r="55" spans="2:13" ht="14.25" customHeight="1" x14ac:dyDescent="0.25">
      <c r="B55" s="222"/>
      <c r="C55" s="221"/>
      <c r="D55" s="94"/>
      <c r="E55" s="95"/>
      <c r="F55" s="96"/>
      <c r="G55" s="96"/>
      <c r="H55" s="96"/>
      <c r="I55" s="222"/>
      <c r="J55" s="96"/>
      <c r="K55" s="222"/>
      <c r="L55" s="222"/>
      <c r="M55" s="222"/>
    </row>
    <row r="56" spans="2:13" ht="14.25" customHeight="1" x14ac:dyDescent="0.25">
      <c r="B56" s="50">
        <f t="shared" si="0"/>
        <v>56</v>
      </c>
      <c r="C56" s="216"/>
      <c r="D56" s="320">
        <v>101700000</v>
      </c>
      <c r="E56" s="132" t="str">
        <f>VLOOKUP("T.08.50",Translation,LanguageNo+1,FALSE)</f>
        <v>1.1.7 Übrige Kapitalanlagen</v>
      </c>
      <c r="F56" s="100">
        <f>F57+F65+F75+F79</f>
        <v>0</v>
      </c>
      <c r="G56" s="100"/>
      <c r="H56" s="100"/>
      <c r="I56" s="100">
        <f>I57+I65+I75+I79</f>
        <v>0</v>
      </c>
      <c r="J56" s="100">
        <f>J57+J65+J75+J79</f>
        <v>0</v>
      </c>
      <c r="K56" s="100">
        <f>K57+K65+K75+K79</f>
        <v>0</v>
      </c>
      <c r="L56" s="217">
        <f t="shared" si="11"/>
        <v>0</v>
      </c>
      <c r="M56" s="217">
        <f>'SST Balance Sheet BVG'!E56</f>
        <v>0</v>
      </c>
    </row>
    <row r="57" spans="2:13" ht="14.25" customHeight="1" x14ac:dyDescent="0.25">
      <c r="B57" s="50">
        <f t="shared" si="0"/>
        <v>57</v>
      </c>
      <c r="C57" s="216"/>
      <c r="D57" s="320">
        <v>101710000</v>
      </c>
      <c r="E57" s="130" t="str">
        <f>VLOOKUP("T.08.51",Translation,LanguageNo+1,FALSE)</f>
        <v>Kollektive Kapitalanlagen</v>
      </c>
      <c r="F57" s="99">
        <f>SUM(F58:F63)</f>
        <v>0</v>
      </c>
      <c r="G57" s="99"/>
      <c r="H57" s="99"/>
      <c r="I57" s="100">
        <f>SUM(I58:I63)</f>
        <v>0</v>
      </c>
      <c r="J57" s="99">
        <f>SUM(J58:J63)</f>
        <v>0</v>
      </c>
      <c r="K57" s="100">
        <f>SUM(K58:K63)</f>
        <v>0</v>
      </c>
      <c r="L57" s="217">
        <f t="shared" si="11"/>
        <v>0</v>
      </c>
      <c r="M57" s="217">
        <f>'SST Balance Sheet BVG'!E57</f>
        <v>0</v>
      </c>
    </row>
    <row r="58" spans="2:13" ht="14.25" customHeight="1" x14ac:dyDescent="0.25">
      <c r="B58" s="50">
        <f t="shared" si="0"/>
        <v>58</v>
      </c>
      <c r="C58" s="219">
        <v>1</v>
      </c>
      <c r="D58" s="354" t="s">
        <v>1407</v>
      </c>
      <c r="E58" s="80" t="str">
        <f>VLOOKUP("T.08.52",Translation,LanguageNo+1,FALSE)</f>
        <v>Anlagefonds: Immobilien</v>
      </c>
      <c r="F58" s="85"/>
      <c r="G58" s="48"/>
      <c r="H58" s="104"/>
      <c r="I58" s="217">
        <f t="shared" ref="I58:I63" si="16">IF(ISBLANK(B58),"",F58+SUMPRODUCT(--($G$6:$G$247=B58),$H$6:$H$247,$C$6:$C$247)*C58-H58)</f>
        <v>0</v>
      </c>
      <c r="J58" s="86"/>
      <c r="K58" s="217">
        <f t="shared" ref="K58:K63" si="17">$I58+$J58</f>
        <v>0</v>
      </c>
      <c r="L58" s="217">
        <f t="shared" si="11"/>
        <v>0</v>
      </c>
      <c r="M58" s="217">
        <f>'SST Balance Sheet BVG'!E58</f>
        <v>0</v>
      </c>
    </row>
    <row r="59" spans="2:13" ht="14.25" customHeight="1" x14ac:dyDescent="0.25">
      <c r="B59" s="50">
        <f t="shared" si="0"/>
        <v>59</v>
      </c>
      <c r="C59" s="219">
        <v>1</v>
      </c>
      <c r="D59" s="354" t="s">
        <v>1408</v>
      </c>
      <c r="E59" s="80" t="str">
        <f>VLOOKUP("T.08.53",Translation,LanguageNo+1,FALSE)</f>
        <v>Anlagefonds: Aktien</v>
      </c>
      <c r="F59" s="85"/>
      <c r="G59" s="48"/>
      <c r="H59" s="104"/>
      <c r="I59" s="217">
        <f t="shared" si="16"/>
        <v>0</v>
      </c>
      <c r="J59" s="86"/>
      <c r="K59" s="217">
        <f t="shared" si="17"/>
        <v>0</v>
      </c>
      <c r="L59" s="217">
        <f t="shared" si="11"/>
        <v>0</v>
      </c>
      <c r="M59" s="217">
        <f>'SST Balance Sheet BVG'!E59</f>
        <v>0</v>
      </c>
    </row>
    <row r="60" spans="2:13" ht="14.25" customHeight="1" x14ac:dyDescent="0.25">
      <c r="B60" s="50">
        <f t="shared" si="0"/>
        <v>60</v>
      </c>
      <c r="C60" s="219">
        <v>1</v>
      </c>
      <c r="D60" s="354" t="s">
        <v>1409</v>
      </c>
      <c r="E60" s="80" t="str">
        <f>VLOOKUP("T.08.54",Translation,LanguageNo+1,FALSE)</f>
        <v>Anlagefonds: festverzinsliche Wertpapiere</v>
      </c>
      <c r="F60" s="85"/>
      <c r="G60" s="48"/>
      <c r="H60" s="104"/>
      <c r="I60" s="217">
        <f t="shared" si="16"/>
        <v>0</v>
      </c>
      <c r="J60" s="86"/>
      <c r="K60" s="217">
        <f t="shared" si="17"/>
        <v>0</v>
      </c>
      <c r="L60" s="217">
        <f t="shared" si="11"/>
        <v>0</v>
      </c>
      <c r="M60" s="217">
        <f>'SST Balance Sheet BVG'!E60</f>
        <v>0</v>
      </c>
    </row>
    <row r="61" spans="2:13" ht="14.25" customHeight="1" x14ac:dyDescent="0.25">
      <c r="B61" s="50">
        <f t="shared" si="0"/>
        <v>61</v>
      </c>
      <c r="C61" s="219">
        <v>1</v>
      </c>
      <c r="D61" s="354" t="s">
        <v>1410</v>
      </c>
      <c r="E61" s="80" t="str">
        <f>VLOOKUP("T.08.55",Translation,LanguageNo+1,FALSE)</f>
        <v>Anlagefonds: Geldmarkt</v>
      </c>
      <c r="F61" s="85"/>
      <c r="G61" s="48"/>
      <c r="H61" s="104"/>
      <c r="I61" s="217">
        <f t="shared" si="16"/>
        <v>0</v>
      </c>
      <c r="J61" s="86"/>
      <c r="K61" s="217">
        <f t="shared" si="17"/>
        <v>0</v>
      </c>
      <c r="L61" s="217">
        <f t="shared" si="11"/>
        <v>0</v>
      </c>
      <c r="M61" s="217">
        <f>'SST Balance Sheet BVG'!E61</f>
        <v>0</v>
      </c>
    </row>
    <row r="62" spans="2:13" ht="14.25" customHeight="1" x14ac:dyDescent="0.25">
      <c r="B62" s="50">
        <f t="shared" si="0"/>
        <v>62</v>
      </c>
      <c r="C62" s="219">
        <v>1</v>
      </c>
      <c r="D62" s="354" t="s">
        <v>1411</v>
      </c>
      <c r="E62" s="80" t="str">
        <f>VLOOKUP("T.08.56",Translation,LanguageNo+1,FALSE)</f>
        <v>Anlagefonds: Übrige</v>
      </c>
      <c r="F62" s="85"/>
      <c r="G62" s="48"/>
      <c r="H62" s="104"/>
      <c r="I62" s="217">
        <f t="shared" si="16"/>
        <v>0</v>
      </c>
      <c r="J62" s="86"/>
      <c r="K62" s="217">
        <f t="shared" si="17"/>
        <v>0</v>
      </c>
      <c r="L62" s="217">
        <f t="shared" si="11"/>
        <v>0</v>
      </c>
      <c r="M62" s="217">
        <f>'SST Balance Sheet BVG'!E62</f>
        <v>0</v>
      </c>
    </row>
    <row r="63" spans="2:13" ht="14.25" customHeight="1" x14ac:dyDescent="0.25">
      <c r="B63" s="50">
        <f t="shared" si="0"/>
        <v>63</v>
      </c>
      <c r="C63" s="219">
        <v>1</v>
      </c>
      <c r="D63" s="354" t="s">
        <v>1412</v>
      </c>
      <c r="E63" s="80" t="str">
        <f>VLOOKUP("T.08.57",Translation,LanguageNo+1,FALSE)</f>
        <v>Anlagefonds: Gemischt</v>
      </c>
      <c r="F63" s="92"/>
      <c r="G63" s="143"/>
      <c r="H63" s="121"/>
      <c r="I63" s="217">
        <f t="shared" si="16"/>
        <v>0</v>
      </c>
      <c r="J63" s="220"/>
      <c r="K63" s="217">
        <f t="shared" si="17"/>
        <v>0</v>
      </c>
      <c r="L63" s="217">
        <f t="shared" si="11"/>
        <v>0</v>
      </c>
      <c r="M63" s="217">
        <f>'SST Balance Sheet BVG'!E63</f>
        <v>0</v>
      </c>
    </row>
    <row r="64" spans="2:13" ht="14.25" customHeight="1" x14ac:dyDescent="0.25">
      <c r="B64" s="94"/>
      <c r="C64" s="221"/>
      <c r="D64" s="94"/>
      <c r="E64" s="95"/>
      <c r="F64" s="96"/>
      <c r="G64" s="96"/>
      <c r="H64" s="96"/>
      <c r="I64" s="222"/>
      <c r="J64" s="96"/>
      <c r="K64" s="222"/>
      <c r="L64" s="222"/>
      <c r="M64" s="222"/>
    </row>
    <row r="65" spans="2:13" ht="14.25" customHeight="1" x14ac:dyDescent="0.25">
      <c r="B65" s="50">
        <f t="shared" si="0"/>
        <v>65</v>
      </c>
      <c r="C65" s="216"/>
      <c r="D65" s="320">
        <v>101720000</v>
      </c>
      <c r="E65" s="122" t="str">
        <f>VLOOKUP("T.08.58",Translation,LanguageNo+1,FALSE)</f>
        <v>Alternative Kapitalanlagen</v>
      </c>
      <c r="F65" s="99">
        <f>SUM(F66:F67)+F70</f>
        <v>0</v>
      </c>
      <c r="G65" s="99"/>
      <c r="H65" s="99"/>
      <c r="I65" s="100">
        <f>SUM(I66:I67)+I70</f>
        <v>0</v>
      </c>
      <c r="J65" s="99">
        <f>SUM(J66:J67)+J70</f>
        <v>0</v>
      </c>
      <c r="K65" s="100">
        <f>SUM(K66:K67)+K70</f>
        <v>0</v>
      </c>
      <c r="L65" s="217">
        <f t="shared" si="11"/>
        <v>0</v>
      </c>
      <c r="M65" s="217">
        <f>'SST Balance Sheet BVG'!E65</f>
        <v>0</v>
      </c>
    </row>
    <row r="66" spans="2:13" ht="14.25" customHeight="1" x14ac:dyDescent="0.25">
      <c r="B66" s="50">
        <f t="shared" si="0"/>
        <v>66</v>
      </c>
      <c r="C66" s="219">
        <v>1</v>
      </c>
      <c r="D66" s="320">
        <v>101721000</v>
      </c>
      <c r="E66" s="80" t="str">
        <f>VLOOKUP("T.08.59",Translation,LanguageNo+1,FALSE)</f>
        <v>Hedgefonds</v>
      </c>
      <c r="F66" s="86"/>
      <c r="G66" s="86"/>
      <c r="H66" s="86"/>
      <c r="I66" s="217">
        <f>IF(ISBLANK(B66),"",F66+SUMPRODUCT(--($G$6:$G$247=B66),$H$6:$H$247,$C$6:$C$247)*C66-H66)</f>
        <v>0</v>
      </c>
      <c r="J66" s="86"/>
      <c r="K66" s="217">
        <f t="shared" ref="K66:K67" si="18">$I66+$J66</f>
        <v>0</v>
      </c>
      <c r="L66" s="217">
        <f t="shared" si="11"/>
        <v>0</v>
      </c>
      <c r="M66" s="217">
        <f>'SST Balance Sheet BVG'!E66</f>
        <v>0</v>
      </c>
    </row>
    <row r="67" spans="2:13" ht="14.25" customHeight="1" x14ac:dyDescent="0.25">
      <c r="B67" s="50">
        <f t="shared" si="0"/>
        <v>67</v>
      </c>
      <c r="C67" s="219">
        <v>1</v>
      </c>
      <c r="D67" s="320">
        <v>101722000</v>
      </c>
      <c r="E67" s="88" t="str">
        <f>VLOOKUP("T.08.60",Translation,LanguageNo+1,FALSE)</f>
        <v>Private Equity</v>
      </c>
      <c r="F67" s="86"/>
      <c r="G67" s="86"/>
      <c r="H67" s="86"/>
      <c r="I67" s="217">
        <f>IF(ISBLANK(B67),"",F67+SUMPRODUCT(--($G$6:$G$247=B67),$H$6:$H$247,$C$6:$C$247)*C67-H67)</f>
        <v>0</v>
      </c>
      <c r="J67" s="86"/>
      <c r="K67" s="217">
        <f t="shared" si="18"/>
        <v>0</v>
      </c>
      <c r="L67" s="217">
        <f t="shared" si="11"/>
        <v>0</v>
      </c>
      <c r="M67" s="217">
        <f>'SST Balance Sheet BVG'!E67</f>
        <v>0</v>
      </c>
    </row>
    <row r="68" spans="2:13" ht="14.25" customHeight="1" x14ac:dyDescent="0.25">
      <c r="B68" s="50">
        <f t="shared" si="0"/>
        <v>68</v>
      </c>
      <c r="C68" s="216"/>
      <c r="D68" s="355" t="s">
        <v>1413</v>
      </c>
      <c r="E68" s="133" t="str">
        <f>VLOOKUP("T.08.61",Translation,LanguageNo+1,FALSE)</f>
        <v>davon Partizipationen (Anteil &lt; 20%)</v>
      </c>
      <c r="F68" s="123"/>
      <c r="G68" s="226"/>
      <c r="H68" s="226"/>
      <c r="I68" s="217"/>
      <c r="J68" s="226"/>
      <c r="K68" s="217"/>
      <c r="L68" s="217"/>
      <c r="M68" s="217"/>
    </row>
    <row r="69" spans="2:13" ht="14.25" customHeight="1" x14ac:dyDescent="0.25">
      <c r="B69" s="222"/>
      <c r="C69" s="221"/>
      <c r="D69" s="322"/>
      <c r="E69" s="134"/>
      <c r="F69" s="129"/>
      <c r="G69" s="129"/>
      <c r="H69" s="129"/>
      <c r="I69" s="222"/>
      <c r="J69" s="129"/>
      <c r="K69" s="222"/>
      <c r="L69" s="222"/>
      <c r="M69" s="222"/>
    </row>
    <row r="70" spans="2:13" ht="14.25" customHeight="1" x14ac:dyDescent="0.25">
      <c r="B70" s="50">
        <f t="shared" si="0"/>
        <v>70</v>
      </c>
      <c r="C70" s="219"/>
      <c r="D70" s="320">
        <v>101723000</v>
      </c>
      <c r="E70" s="50" t="str">
        <f>VLOOKUP("T.08.62",Translation,LanguageNo+1,FALSE)</f>
        <v>Andere Alternative Kapitalanlagen</v>
      </c>
      <c r="F70" s="135">
        <f>SUM(F71:F73)</f>
        <v>0</v>
      </c>
      <c r="G70" s="135"/>
      <c r="H70" s="135"/>
      <c r="I70" s="228">
        <f>SUM(I71:I73)</f>
        <v>0</v>
      </c>
      <c r="J70" s="135">
        <f>SUM(J71:J73)</f>
        <v>0</v>
      </c>
      <c r="K70" s="228">
        <f>SUM(K71:K73)</f>
        <v>0</v>
      </c>
      <c r="L70" s="217">
        <f t="shared" ref="L70:L73" si="19">$M70-$K70</f>
        <v>0</v>
      </c>
      <c r="M70" s="217">
        <f>'SST Balance Sheet BVG'!E70</f>
        <v>0</v>
      </c>
    </row>
    <row r="71" spans="2:13" ht="14.25" customHeight="1" x14ac:dyDescent="0.25">
      <c r="B71" s="50">
        <f t="shared" si="0"/>
        <v>71</v>
      </c>
      <c r="C71" s="219">
        <v>1</v>
      </c>
      <c r="D71" s="354" t="s">
        <v>1414</v>
      </c>
      <c r="E71" s="133" t="str">
        <f>VLOOKUP("T.08.63",Translation,LanguageNo+1,FALSE)</f>
        <v>Private Debt</v>
      </c>
      <c r="F71" s="85"/>
      <c r="G71" s="48"/>
      <c r="H71" s="104"/>
      <c r="I71" s="217">
        <f>IF(ISBLANK(B71),"",F71+SUMPRODUCT(--($G$6:$G$247=B71),$H$6:$H$247,$C$6:$C$247)*C71-H71)</f>
        <v>0</v>
      </c>
      <c r="J71" s="86"/>
      <c r="K71" s="217">
        <f t="shared" ref="K71:K73" si="20">$I71+$J71</f>
        <v>0</v>
      </c>
      <c r="L71" s="217">
        <f t="shared" si="19"/>
        <v>0</v>
      </c>
      <c r="M71" s="217">
        <f>'SST Balance Sheet BVG'!E71</f>
        <v>0</v>
      </c>
    </row>
    <row r="72" spans="2:13" ht="14.25" customHeight="1" x14ac:dyDescent="0.25">
      <c r="B72" s="50">
        <f t="shared" ref="B72:B73" si="21">ROW(B72)</f>
        <v>72</v>
      </c>
      <c r="C72" s="219">
        <v>1</v>
      </c>
      <c r="D72" s="354" t="s">
        <v>1415</v>
      </c>
      <c r="E72" s="133" t="str">
        <f>VLOOKUP("T.08.64",Translation,LanguageNo+1,FALSE)</f>
        <v>Senior Secured Loans</v>
      </c>
      <c r="F72" s="85"/>
      <c r="G72" s="48"/>
      <c r="H72" s="104"/>
      <c r="I72" s="217">
        <f>IF(ISBLANK(B72),"",F72+SUMPRODUCT(--($G$6:$G$247=B72),$H$6:$H$247,$C$6:$C$247)*C72-H72)</f>
        <v>0</v>
      </c>
      <c r="J72" s="86"/>
      <c r="K72" s="217">
        <f t="shared" si="20"/>
        <v>0</v>
      </c>
      <c r="L72" s="217">
        <f t="shared" si="19"/>
        <v>0</v>
      </c>
      <c r="M72" s="217">
        <f>'SST Balance Sheet BVG'!E72</f>
        <v>0</v>
      </c>
    </row>
    <row r="73" spans="2:13" ht="14.25" customHeight="1" x14ac:dyDescent="0.25">
      <c r="B73" s="50">
        <f t="shared" si="21"/>
        <v>73</v>
      </c>
      <c r="C73" s="219">
        <v>1</v>
      </c>
      <c r="D73" s="354" t="s">
        <v>1416</v>
      </c>
      <c r="E73" s="126" t="str">
        <f>VLOOKUP("T.08.65",Translation,LanguageNo+1,FALSE)</f>
        <v>Rohstoffe</v>
      </c>
      <c r="F73" s="92"/>
      <c r="G73" s="143"/>
      <c r="H73" s="121"/>
      <c r="I73" s="217">
        <f>IF(ISBLANK(B73),"",F73+SUMPRODUCT(--($G$6:$G$247=B73),$H$6:$H$247,$C$6:$C$247)*C73-H73)</f>
        <v>0</v>
      </c>
      <c r="J73" s="220"/>
      <c r="K73" s="217">
        <f t="shared" si="20"/>
        <v>0</v>
      </c>
      <c r="L73" s="217">
        <f t="shared" si="19"/>
        <v>0</v>
      </c>
      <c r="M73" s="217">
        <f>'SST Balance Sheet BVG'!E73</f>
        <v>0</v>
      </c>
    </row>
    <row r="74" spans="2:13" ht="14.25" customHeight="1" x14ac:dyDescent="0.25">
      <c r="B74" s="222"/>
      <c r="C74" s="221"/>
      <c r="D74" s="94"/>
      <c r="E74" s="95"/>
      <c r="F74" s="96"/>
      <c r="G74" s="96"/>
      <c r="H74" s="96"/>
      <c r="I74" s="222"/>
      <c r="J74" s="96"/>
      <c r="K74" s="222"/>
      <c r="L74" s="222"/>
      <c r="M74" s="222"/>
    </row>
    <row r="75" spans="2:13" ht="14.25" customHeight="1" x14ac:dyDescent="0.25">
      <c r="B75" s="50">
        <f t="shared" ref="B75:B77" si="22">ROW(B75)</f>
        <v>75</v>
      </c>
      <c r="C75" s="216"/>
      <c r="D75" s="320">
        <v>101730000</v>
      </c>
      <c r="E75" s="122" t="str">
        <f>VLOOKUP("T.08.66",Translation,LanguageNo+1,FALSE)</f>
        <v>Strukturierte Produkte</v>
      </c>
      <c r="F75" s="135">
        <f>SUM(F76:F77)</f>
        <v>0</v>
      </c>
      <c r="G75" s="135"/>
      <c r="H75" s="135"/>
      <c r="I75" s="228">
        <f>SUM(I76:I77)</f>
        <v>0</v>
      </c>
      <c r="J75" s="135">
        <f>SUM(J76:J77)</f>
        <v>0</v>
      </c>
      <c r="K75" s="228">
        <f>SUM(K76:K77)</f>
        <v>0</v>
      </c>
      <c r="L75" s="217">
        <f t="shared" ref="L75:L77" si="23">$M75-$K75</f>
        <v>0</v>
      </c>
      <c r="M75" s="217">
        <f>'SST Balance Sheet BVG'!E75</f>
        <v>0</v>
      </c>
    </row>
    <row r="76" spans="2:13" ht="14.25" customHeight="1" x14ac:dyDescent="0.25">
      <c r="B76" s="50">
        <f t="shared" si="22"/>
        <v>76</v>
      </c>
      <c r="C76" s="219">
        <v>1</v>
      </c>
      <c r="D76" s="354" t="s">
        <v>1417</v>
      </c>
      <c r="E76" s="80" t="str">
        <f>VLOOKUP("T.08.67",Translation,LanguageNo+1,FALSE)</f>
        <v>Insurance-Linked Securities (z.B. Cat Bonds)</v>
      </c>
      <c r="F76" s="85"/>
      <c r="G76" s="48"/>
      <c r="H76" s="104"/>
      <c r="I76" s="217">
        <f>IF(ISBLANK(B76),"",F76+SUMPRODUCT(--($G$6:$G$247=B76),$H$6:$H$247,$C$6:$C$247)*C76-H76)</f>
        <v>0</v>
      </c>
      <c r="J76" s="86"/>
      <c r="K76" s="217">
        <f t="shared" ref="K76:K77" si="24">$I76+$J76</f>
        <v>0</v>
      </c>
      <c r="L76" s="217">
        <f t="shared" si="23"/>
        <v>0</v>
      </c>
      <c r="M76" s="217">
        <f>'SST Balance Sheet BVG'!E76</f>
        <v>0</v>
      </c>
    </row>
    <row r="77" spans="2:13" ht="14.25" customHeight="1" x14ac:dyDescent="0.25">
      <c r="B77" s="50">
        <f t="shared" si="22"/>
        <v>77</v>
      </c>
      <c r="C77" s="219">
        <v>1</v>
      </c>
      <c r="D77" s="321" t="s">
        <v>181</v>
      </c>
      <c r="E77" s="80" t="str">
        <f>VLOOKUP("T.08.68",Translation,LanguageNo+1,FALSE)</f>
        <v>Andere strukturierte Produkte</v>
      </c>
      <c r="F77" s="92"/>
      <c r="G77" s="143"/>
      <c r="H77" s="121"/>
      <c r="I77" s="217">
        <f>IF(ISBLANK(B77),"",F77+SUMPRODUCT(--($G$6:$G$247=B77),$H$6:$H$247,$C$6:$C$247)*C77-H77)</f>
        <v>0</v>
      </c>
      <c r="J77" s="220"/>
      <c r="K77" s="217">
        <f t="shared" si="24"/>
        <v>0</v>
      </c>
      <c r="L77" s="217">
        <f t="shared" si="23"/>
        <v>0</v>
      </c>
      <c r="M77" s="217">
        <f>'SST Balance Sheet BVG'!E77</f>
        <v>0</v>
      </c>
    </row>
    <row r="78" spans="2:13" ht="14.25" customHeight="1" x14ac:dyDescent="0.25">
      <c r="B78" s="94"/>
      <c r="C78" s="221"/>
      <c r="D78" s="94"/>
      <c r="E78" s="93"/>
      <c r="F78" s="96"/>
      <c r="G78" s="96"/>
      <c r="H78" s="96"/>
      <c r="I78" s="222"/>
      <c r="J78" s="96"/>
      <c r="K78" s="222"/>
      <c r="L78" s="222"/>
      <c r="M78" s="222"/>
    </row>
    <row r="79" spans="2:13" ht="14.25" customHeight="1" x14ac:dyDescent="0.25">
      <c r="B79" s="50">
        <f t="shared" ref="B79:B85" si="25">ROW(B79)</f>
        <v>79</v>
      </c>
      <c r="C79" s="216"/>
      <c r="D79" s="320">
        <v>101740000</v>
      </c>
      <c r="E79" s="130" t="str">
        <f>VLOOKUP("T.08.69",Translation,LanguageNo+1,FALSE)</f>
        <v>Sonstige Kapitalanlagen</v>
      </c>
      <c r="F79" s="100">
        <f>F80+F85</f>
        <v>0</v>
      </c>
      <c r="G79" s="100"/>
      <c r="H79" s="100"/>
      <c r="I79" s="100">
        <f>I80+I85</f>
        <v>0</v>
      </c>
      <c r="J79" s="100">
        <f>J80+J85</f>
        <v>0</v>
      </c>
      <c r="K79" s="100">
        <f>K80+K85</f>
        <v>0</v>
      </c>
      <c r="L79" s="217">
        <f t="shared" ref="L79:L85" si="26">$M79-$K79</f>
        <v>0</v>
      </c>
      <c r="M79" s="217">
        <f>'SST Balance Sheet BVG'!E79</f>
        <v>0</v>
      </c>
    </row>
    <row r="80" spans="2:13" ht="14.25" customHeight="1" x14ac:dyDescent="0.25">
      <c r="B80" s="50">
        <f t="shared" si="25"/>
        <v>80</v>
      </c>
      <c r="C80" s="225"/>
      <c r="D80" s="320">
        <v>101741000</v>
      </c>
      <c r="E80" s="80" t="str">
        <f>VLOOKUP("T.08.70",Translation,LanguageNo+1,FALSE)</f>
        <v>Verbriefte Forderungen</v>
      </c>
      <c r="F80" s="135">
        <f>SUM(F81:F84)</f>
        <v>0</v>
      </c>
      <c r="G80" s="135"/>
      <c r="H80" s="135"/>
      <c r="I80" s="228">
        <f>SUM(I81:I84)</f>
        <v>0</v>
      </c>
      <c r="J80" s="135">
        <f>SUM(J81:J84)</f>
        <v>0</v>
      </c>
      <c r="K80" s="228">
        <f>SUM(K81:K84)</f>
        <v>0</v>
      </c>
      <c r="L80" s="217">
        <f t="shared" si="26"/>
        <v>0</v>
      </c>
      <c r="M80" s="217">
        <f>'SST Balance Sheet BVG'!E80</f>
        <v>0</v>
      </c>
    </row>
    <row r="81" spans="2:13" ht="14.25" customHeight="1" x14ac:dyDescent="0.25">
      <c r="B81" s="50">
        <f t="shared" si="25"/>
        <v>81</v>
      </c>
      <c r="C81" s="219">
        <v>1</v>
      </c>
      <c r="D81" s="354" t="s">
        <v>1418</v>
      </c>
      <c r="E81" s="108" t="str">
        <f>VLOOKUP("T.08.71",Translation,LanguageNo+1,FALSE)</f>
        <v>Asset Backed Securities (ABS)</v>
      </c>
      <c r="F81" s="85"/>
      <c r="G81" s="48"/>
      <c r="H81" s="104"/>
      <c r="I81" s="217">
        <f>IF(ISBLANK(B81),"",F81+SUMPRODUCT(--($G$6:$G$247=B81),$H$6:$H$247,$C$6:$C$247)*C81-H81)</f>
        <v>0</v>
      </c>
      <c r="J81" s="86"/>
      <c r="K81" s="217">
        <f t="shared" ref="K81:K87" si="27">$I81+$J81</f>
        <v>0</v>
      </c>
      <c r="L81" s="217">
        <f t="shared" si="26"/>
        <v>0</v>
      </c>
      <c r="M81" s="217">
        <f>'SST Balance Sheet BVG'!E81</f>
        <v>0</v>
      </c>
    </row>
    <row r="82" spans="2:13" ht="14.25" customHeight="1" x14ac:dyDescent="0.25">
      <c r="B82" s="50">
        <f t="shared" si="25"/>
        <v>82</v>
      </c>
      <c r="C82" s="219">
        <v>1</v>
      </c>
      <c r="D82" s="354" t="s">
        <v>1419</v>
      </c>
      <c r="E82" s="108" t="str">
        <f>VLOOKUP("T.08.72",Translation,LanguageNo+1,FALSE)</f>
        <v>Mortgage Backed Securities (MBS)</v>
      </c>
      <c r="F82" s="85"/>
      <c r="G82" s="48"/>
      <c r="H82" s="104"/>
      <c r="I82" s="217">
        <f>IF(ISBLANK(B82),"",F82+SUMPRODUCT(--($G$6:$G$247=B82),$H$6:$H$247,$C$6:$C$247)*C82-H82)</f>
        <v>0</v>
      </c>
      <c r="J82" s="86"/>
      <c r="K82" s="217">
        <f t="shared" si="27"/>
        <v>0</v>
      </c>
      <c r="L82" s="217">
        <f t="shared" si="26"/>
        <v>0</v>
      </c>
      <c r="M82" s="217">
        <f>'SST Balance Sheet BVG'!E82</f>
        <v>0</v>
      </c>
    </row>
    <row r="83" spans="2:13" ht="14.25" customHeight="1" x14ac:dyDescent="0.25">
      <c r="B83" s="50">
        <f t="shared" si="25"/>
        <v>83</v>
      </c>
      <c r="C83" s="219">
        <v>1</v>
      </c>
      <c r="D83" s="354" t="s">
        <v>1420</v>
      </c>
      <c r="E83" s="108" t="str">
        <f>VLOOKUP("T.08.73",Translation,LanguageNo+1,FALSE)</f>
        <v>Collateralized Debt Obligations (CDO) und Collateralized Loan Obligations (CLO)</v>
      </c>
      <c r="F83" s="85"/>
      <c r="G83" s="48"/>
      <c r="H83" s="104"/>
      <c r="I83" s="217">
        <f>IF(ISBLANK(B83),"",F83+SUMPRODUCT(--($G$6:$G$247=B83),$H$6:$H$247,$C$6:$C$247)*C83-H83)</f>
        <v>0</v>
      </c>
      <c r="J83" s="86"/>
      <c r="K83" s="217">
        <f t="shared" si="27"/>
        <v>0</v>
      </c>
      <c r="L83" s="217">
        <f t="shared" si="26"/>
        <v>0</v>
      </c>
      <c r="M83" s="217">
        <f>'SST Balance Sheet BVG'!E83</f>
        <v>0</v>
      </c>
    </row>
    <row r="84" spans="2:13" ht="14.25" customHeight="1" x14ac:dyDescent="0.25">
      <c r="B84" s="50">
        <f t="shared" si="25"/>
        <v>84</v>
      </c>
      <c r="C84" s="219">
        <v>1</v>
      </c>
      <c r="D84" s="354" t="s">
        <v>1421</v>
      </c>
      <c r="E84" s="108" t="str">
        <f>VLOOKUP("T.08.74",Translation,LanguageNo+1,FALSE)</f>
        <v>Sonstige verbriefte Forderungen</v>
      </c>
      <c r="F84" s="85"/>
      <c r="G84" s="48"/>
      <c r="H84" s="104"/>
      <c r="I84" s="217">
        <f>IF(ISBLANK(B84),"",F84+SUMPRODUCT(--($G$6:$G$247=B84),$H$6:$H$247,$C$6:$C$247)*C84-H84)</f>
        <v>0</v>
      </c>
      <c r="J84" s="86"/>
      <c r="K84" s="217">
        <f t="shared" si="27"/>
        <v>0</v>
      </c>
      <c r="L84" s="217">
        <f t="shared" si="26"/>
        <v>0</v>
      </c>
      <c r="M84" s="217">
        <f>'SST Balance Sheet BVG'!E84</f>
        <v>0</v>
      </c>
    </row>
    <row r="85" spans="2:13" ht="14.25" customHeight="1" x14ac:dyDescent="0.25">
      <c r="B85" s="50">
        <f t="shared" si="25"/>
        <v>85</v>
      </c>
      <c r="C85" s="219">
        <v>1</v>
      </c>
      <c r="D85" s="354" t="s">
        <v>1422</v>
      </c>
      <c r="E85" s="50" t="str">
        <f>VLOOKUP("T.08.75",Translation,LanguageNo+1,FALSE)</f>
        <v>Andere Kapitalanlagen (Infrastrukturanlagen, Currency Overlay, u.a.)</v>
      </c>
      <c r="F85" s="92"/>
      <c r="G85" s="143"/>
      <c r="H85" s="121"/>
      <c r="I85" s="217">
        <f>IF(ISBLANK(B85),"",F85+SUMPRODUCT(--($G$6:$G$247=B85),$H$6:$H$247,$C$6:$C$247)*C85-H85)</f>
        <v>0</v>
      </c>
      <c r="J85" s="220"/>
      <c r="K85" s="217">
        <f t="shared" si="27"/>
        <v>0</v>
      </c>
      <c r="L85" s="217">
        <f t="shared" si="26"/>
        <v>0</v>
      </c>
      <c r="M85" s="217">
        <f>'SST Balance Sheet BVG'!E85</f>
        <v>0</v>
      </c>
    </row>
    <row r="86" spans="2:13" ht="14.25" customHeight="1" x14ac:dyDescent="0.25">
      <c r="B86" s="94"/>
      <c r="C86" s="221"/>
      <c r="D86" s="94"/>
      <c r="E86" s="95"/>
      <c r="F86" s="96"/>
      <c r="G86" s="96"/>
      <c r="H86" s="96"/>
      <c r="I86" s="222"/>
      <c r="J86" s="96"/>
      <c r="K86" s="222"/>
      <c r="L86" s="222"/>
      <c r="M86" s="222"/>
    </row>
    <row r="87" spans="2:13" ht="14.25" customHeight="1" x14ac:dyDescent="0.25">
      <c r="B87" s="50">
        <f t="shared" ref="B87" si="28">ROW(B87)</f>
        <v>87</v>
      </c>
      <c r="C87" s="219">
        <v>1</v>
      </c>
      <c r="D87" s="307">
        <v>101800100</v>
      </c>
      <c r="E87" s="141" t="str">
        <f>VLOOKUP("T.08.76",Translation,LanguageNo+1,FALSE)</f>
        <v>Schwankungsreserven Kapitalanlagen (ohne anteilgebundene Lebensversicherung)</v>
      </c>
      <c r="F87" s="85"/>
      <c r="G87" s="48"/>
      <c r="H87" s="104"/>
      <c r="I87" s="217">
        <f>IF(ISBLANK(B87),"",F87+SUMPRODUCT(--($G$6:$G$247=B87),$H$6:$H$247,$C$6:$C$247)*C87-H87)</f>
        <v>0</v>
      </c>
      <c r="J87" s="86"/>
      <c r="K87" s="217">
        <f t="shared" si="27"/>
        <v>0</v>
      </c>
      <c r="L87" s="100">
        <f>$M87-$K87</f>
        <v>0</v>
      </c>
      <c r="M87" s="356">
        <f>'SST Balance Sheet BVG'!E87</f>
        <v>0</v>
      </c>
    </row>
    <row r="88" spans="2:13" ht="14.25" customHeight="1" x14ac:dyDescent="0.25">
      <c r="B88" s="222"/>
      <c r="C88" s="221"/>
      <c r="D88" s="94"/>
      <c r="E88" s="95"/>
      <c r="F88" s="96"/>
      <c r="G88" s="96"/>
      <c r="H88" s="96"/>
      <c r="I88" s="222"/>
      <c r="J88" s="96"/>
      <c r="K88" s="222"/>
      <c r="L88" s="222"/>
      <c r="M88" s="222"/>
    </row>
    <row r="89" spans="2:13" ht="14.25" customHeight="1" x14ac:dyDescent="0.25">
      <c r="B89" s="50">
        <f t="shared" ref="B89" si="29">ROW(B89)</f>
        <v>89</v>
      </c>
      <c r="C89" s="216"/>
      <c r="D89" s="50">
        <v>101000000</v>
      </c>
      <c r="E89" s="142" t="str">
        <f>VLOOKUP("T.08.77",Translation,LanguageNo+1,FALSE)</f>
        <v>Total Kapitalanlagen</v>
      </c>
      <c r="F89" s="100">
        <f>F8+F19+F28+F38+F43+F51+F56+F87</f>
        <v>0</v>
      </c>
      <c r="G89" s="100"/>
      <c r="H89" s="100"/>
      <c r="I89" s="100">
        <f>I8+I19+I28+I38+I43+I51+I56+I87</f>
        <v>0</v>
      </c>
      <c r="J89" s="100">
        <f>J8+J19+J28+J38+J43+J51+J56+J87</f>
        <v>0</v>
      </c>
      <c r="K89" s="100">
        <f>K8+K19+K28+K38+K43+K51+K56+K87</f>
        <v>0</v>
      </c>
      <c r="L89" s="100">
        <f>$M89-$K89</f>
        <v>0</v>
      </c>
      <c r="M89" s="217">
        <f>'SST Balance Sheet BVG'!E89</f>
        <v>0</v>
      </c>
    </row>
    <row r="90" spans="2:13" ht="14.25" customHeight="1" x14ac:dyDescent="0.25">
      <c r="B90" s="222"/>
      <c r="C90" s="221"/>
      <c r="D90" s="94"/>
      <c r="E90" s="95"/>
      <c r="F90" s="96"/>
      <c r="G90" s="96"/>
      <c r="H90" s="96"/>
      <c r="I90" s="222"/>
      <c r="J90" s="96"/>
      <c r="K90" s="222"/>
      <c r="L90" s="222"/>
      <c r="M90" s="222"/>
    </row>
    <row r="91" spans="2:13" ht="14.25" customHeight="1" x14ac:dyDescent="0.25">
      <c r="B91" s="50">
        <f t="shared" ref="B91:B93" si="30">ROW(B91)</f>
        <v>91</v>
      </c>
      <c r="C91" s="216"/>
      <c r="D91" s="139"/>
      <c r="E91" s="142" t="str">
        <f>VLOOKUP("T.08.78",Translation,LanguageNo+1,FALSE)</f>
        <v>Übrige Aktiven</v>
      </c>
      <c r="F91" s="99"/>
      <c r="G91" s="99"/>
      <c r="H91" s="99"/>
      <c r="I91" s="100"/>
      <c r="J91" s="99"/>
      <c r="K91" s="100"/>
      <c r="L91" s="217"/>
      <c r="M91" s="217"/>
    </row>
    <row r="92" spans="2:13" s="84" customFormat="1" ht="14.25" customHeight="1" x14ac:dyDescent="0.25">
      <c r="B92" s="94"/>
      <c r="C92" s="221"/>
      <c r="D92" s="94"/>
      <c r="E92" s="134"/>
      <c r="F92" s="96"/>
      <c r="G92" s="96"/>
      <c r="H92" s="96"/>
      <c r="I92" s="222"/>
      <c r="J92" s="96"/>
      <c r="K92" s="222"/>
      <c r="L92" s="222"/>
      <c r="M92" s="222"/>
    </row>
    <row r="93" spans="2:13" s="424" customFormat="1" ht="14.25" customHeight="1" x14ac:dyDescent="0.25">
      <c r="B93" s="417">
        <f t="shared" si="30"/>
        <v>93</v>
      </c>
      <c r="C93" s="418"/>
      <c r="D93" s="419">
        <v>102000000</v>
      </c>
      <c r="E93" s="420" t="str">
        <f>VLOOKUP("T.08.79",Translation,LanguageNo+1,FALSE)</f>
        <v>1.2 Kapitalanlagen aus anteilgebundener Lebensversicherung</v>
      </c>
      <c r="F93" s="421">
        <f>F94+F96+F104</f>
        <v>0</v>
      </c>
      <c r="G93" s="421"/>
      <c r="H93" s="421"/>
      <c r="I93" s="422">
        <f>I94+I96+I104</f>
        <v>0</v>
      </c>
      <c r="J93" s="421">
        <f>J94+J96+J104</f>
        <v>0</v>
      </c>
      <c r="K93" s="422">
        <f>K94+K96+K104</f>
        <v>0</v>
      </c>
      <c r="L93" s="423">
        <f t="shared" ref="L93:L94" si="31">$M93-$K93</f>
        <v>0</v>
      </c>
      <c r="M93" s="423">
        <f>'SST Balance Sheet BVG'!E93</f>
        <v>0</v>
      </c>
    </row>
    <row r="94" spans="2:13" s="424" customFormat="1" ht="14.25" customHeight="1" x14ac:dyDescent="0.25">
      <c r="B94" s="417">
        <f t="shared" ref="B94:B101" si="32">ROW(B94)</f>
        <v>94</v>
      </c>
      <c r="C94" s="425">
        <v>1</v>
      </c>
      <c r="D94" s="419">
        <v>102100000</v>
      </c>
      <c r="E94" s="426" t="str">
        <f>VLOOKUP("T.08.80",Translation,LanguageNo+1,FALSE)</f>
        <v>Fondsanteilgebundene Lebensversicherung</v>
      </c>
      <c r="F94" s="427"/>
      <c r="G94" s="428"/>
      <c r="H94" s="429"/>
      <c r="I94" s="423">
        <f>IF(ISBLANK(B94),"",F94+SUMPRODUCT(--($G$6:$G$247=B94),$H$6:$H$247,$C$6:$C$247)*C94-H94)</f>
        <v>0</v>
      </c>
      <c r="J94" s="430"/>
      <c r="K94" s="423">
        <f t="shared" ref="K94" si="33">$I94+$J94</f>
        <v>0</v>
      </c>
      <c r="L94" s="423">
        <f t="shared" si="31"/>
        <v>0</v>
      </c>
      <c r="M94" s="423">
        <f>'SST Balance Sheet BVG'!E94</f>
        <v>0</v>
      </c>
    </row>
    <row r="95" spans="2:13" s="424" customFormat="1" ht="14.25" customHeight="1" x14ac:dyDescent="0.25">
      <c r="B95" s="417"/>
      <c r="C95" s="418"/>
      <c r="D95" s="417"/>
      <c r="E95" s="431"/>
      <c r="F95" s="422"/>
      <c r="G95" s="422"/>
      <c r="H95" s="422"/>
      <c r="I95" s="423"/>
      <c r="J95" s="422"/>
      <c r="K95" s="423"/>
      <c r="L95" s="423"/>
      <c r="M95" s="423"/>
    </row>
    <row r="96" spans="2:13" s="424" customFormat="1" ht="14.25" customHeight="1" x14ac:dyDescent="0.25">
      <c r="B96" s="417">
        <f t="shared" si="32"/>
        <v>96</v>
      </c>
      <c r="C96" s="425"/>
      <c r="D96" s="419">
        <v>102200000</v>
      </c>
      <c r="E96" s="426" t="str">
        <f>VLOOKUP("T.08.81",Translation,LanguageNo+1,FALSE)</f>
        <v>An interne Anlagebestände oder andere Bezugswerte gebundene Lebensversicherung</v>
      </c>
      <c r="F96" s="421">
        <f>SUM(F97:F102)</f>
        <v>0</v>
      </c>
      <c r="G96" s="421"/>
      <c r="H96" s="421"/>
      <c r="I96" s="422">
        <f>SUM(I97:I102)</f>
        <v>0</v>
      </c>
      <c r="J96" s="421">
        <f>SUM(J97:J102)</f>
        <v>0</v>
      </c>
      <c r="K96" s="422">
        <f>SUM(K97:K102)</f>
        <v>0</v>
      </c>
      <c r="L96" s="423">
        <f t="shared" ref="L96:L102" si="34">$M96-$K96</f>
        <v>0</v>
      </c>
      <c r="M96" s="423">
        <f>'SST Balance Sheet BVG'!E96</f>
        <v>0</v>
      </c>
    </row>
    <row r="97" spans="2:18" s="424" customFormat="1" ht="14.25" customHeight="1" x14ac:dyDescent="0.25">
      <c r="B97" s="417">
        <f t="shared" si="32"/>
        <v>97</v>
      </c>
      <c r="C97" s="425">
        <v>1</v>
      </c>
      <c r="D97" s="432" t="s">
        <v>1423</v>
      </c>
      <c r="E97" s="417" t="str">
        <f>VLOOKUP("T.08.82",Translation,LanguageNo+1,FALSE)</f>
        <v>Immobilien</v>
      </c>
      <c r="F97" s="433"/>
      <c r="G97" s="434"/>
      <c r="H97" s="435"/>
      <c r="I97" s="423">
        <f t="shared" ref="I97:I102" si="35">IF(ISBLANK(B97),"",F97+SUMPRODUCT(--($G$6:$G$247=B97),$H$6:$H$247,$C$6:$C$247)*C97-H97)</f>
        <v>0</v>
      </c>
      <c r="J97" s="436"/>
      <c r="K97" s="423">
        <f t="shared" ref="K97:K102" si="36">$I97+$J97</f>
        <v>0</v>
      </c>
      <c r="L97" s="423">
        <f t="shared" si="34"/>
        <v>0</v>
      </c>
      <c r="M97" s="423">
        <f>'SST Balance Sheet BVG'!E97</f>
        <v>0</v>
      </c>
    </row>
    <row r="98" spans="2:18" s="424" customFormat="1" ht="14.25" customHeight="1" x14ac:dyDescent="0.25">
      <c r="B98" s="417">
        <f t="shared" si="32"/>
        <v>98</v>
      </c>
      <c r="C98" s="425">
        <v>1</v>
      </c>
      <c r="D98" s="432" t="s">
        <v>1424</v>
      </c>
      <c r="E98" s="417" t="str">
        <f>VLOOKUP("T.08.83",Translation,LanguageNo+1,FALSE)</f>
        <v>Festverzinsliche Wertpapiere, Darlehen</v>
      </c>
      <c r="F98" s="433"/>
      <c r="G98" s="434"/>
      <c r="H98" s="435"/>
      <c r="I98" s="423">
        <f t="shared" si="35"/>
        <v>0</v>
      </c>
      <c r="J98" s="436"/>
      <c r="K98" s="423">
        <f t="shared" si="36"/>
        <v>0</v>
      </c>
      <c r="L98" s="423">
        <f t="shared" si="34"/>
        <v>0</v>
      </c>
      <c r="M98" s="423">
        <f>'SST Balance Sheet BVG'!E98</f>
        <v>0</v>
      </c>
    </row>
    <row r="99" spans="2:18" s="424" customFormat="1" ht="14.25" customHeight="1" x14ac:dyDescent="0.25">
      <c r="B99" s="417">
        <f t="shared" si="32"/>
        <v>99</v>
      </c>
      <c r="C99" s="425">
        <v>1</v>
      </c>
      <c r="D99" s="432" t="s">
        <v>1425</v>
      </c>
      <c r="E99" s="417" t="str">
        <f>VLOOKUP("T.08.84",Translation,LanguageNo+1,FALSE)</f>
        <v>Hypotheken</v>
      </c>
      <c r="F99" s="433"/>
      <c r="G99" s="434"/>
      <c r="H99" s="435"/>
      <c r="I99" s="423">
        <f t="shared" si="35"/>
        <v>0</v>
      </c>
      <c r="J99" s="436"/>
      <c r="K99" s="423">
        <f t="shared" si="36"/>
        <v>0</v>
      </c>
      <c r="L99" s="423">
        <f t="shared" si="34"/>
        <v>0</v>
      </c>
      <c r="M99" s="423">
        <f>'SST Balance Sheet BVG'!E99</f>
        <v>0</v>
      </c>
    </row>
    <row r="100" spans="2:18" s="424" customFormat="1" ht="14.25" customHeight="1" x14ac:dyDescent="0.25">
      <c r="B100" s="417">
        <f t="shared" si="32"/>
        <v>100</v>
      </c>
      <c r="C100" s="425">
        <v>1</v>
      </c>
      <c r="D100" s="432" t="s">
        <v>1426</v>
      </c>
      <c r="E100" s="417" t="str">
        <f>VLOOKUP("T.08.85",Translation,LanguageNo+1,FALSE)</f>
        <v>Aktien und ähnliche Wertschriften</v>
      </c>
      <c r="F100" s="433"/>
      <c r="G100" s="434"/>
      <c r="H100" s="435"/>
      <c r="I100" s="423">
        <f t="shared" si="35"/>
        <v>0</v>
      </c>
      <c r="J100" s="436"/>
      <c r="K100" s="423">
        <f t="shared" si="36"/>
        <v>0</v>
      </c>
      <c r="L100" s="423">
        <f t="shared" si="34"/>
        <v>0</v>
      </c>
      <c r="M100" s="423">
        <f>'SST Balance Sheet BVG'!E100</f>
        <v>0</v>
      </c>
    </row>
    <row r="101" spans="2:18" s="424" customFormat="1" ht="14.25" customHeight="1" x14ac:dyDescent="0.25">
      <c r="B101" s="417">
        <f t="shared" si="32"/>
        <v>101</v>
      </c>
      <c r="C101" s="425">
        <v>1</v>
      </c>
      <c r="D101" s="417" t="s">
        <v>1427</v>
      </c>
      <c r="E101" s="417" t="str">
        <f>VLOOKUP("T.08.86",Translation,LanguageNo+1,FALSE)</f>
        <v>Alternative Anlagen</v>
      </c>
      <c r="F101" s="433"/>
      <c r="G101" s="434"/>
      <c r="H101" s="435"/>
      <c r="I101" s="423">
        <f t="shared" si="35"/>
        <v>0</v>
      </c>
      <c r="J101" s="436"/>
      <c r="K101" s="423">
        <f t="shared" si="36"/>
        <v>0</v>
      </c>
      <c r="L101" s="423">
        <f t="shared" si="34"/>
        <v>0</v>
      </c>
      <c r="M101" s="423">
        <f>'SST Balance Sheet BVG'!E101</f>
        <v>0</v>
      </c>
    </row>
    <row r="102" spans="2:18" s="424" customFormat="1" ht="14.25" customHeight="1" x14ac:dyDescent="0.25">
      <c r="B102" s="417">
        <f t="shared" ref="B102:B110" si="37">ROW(B102)</f>
        <v>102</v>
      </c>
      <c r="C102" s="425">
        <v>1</v>
      </c>
      <c r="D102" s="437" t="s">
        <v>181</v>
      </c>
      <c r="E102" s="417" t="str">
        <f>VLOOKUP("T.08.87",Translation,LanguageNo+1,FALSE)</f>
        <v>Übrige Anlagen</v>
      </c>
      <c r="F102" s="427"/>
      <c r="G102" s="428"/>
      <c r="H102" s="429"/>
      <c r="I102" s="423">
        <f t="shared" si="35"/>
        <v>0</v>
      </c>
      <c r="J102" s="430"/>
      <c r="K102" s="423">
        <f t="shared" si="36"/>
        <v>0</v>
      </c>
      <c r="L102" s="423">
        <f t="shared" si="34"/>
        <v>0</v>
      </c>
      <c r="M102" s="423">
        <f>'SST Balance Sheet BVG'!E102</f>
        <v>0</v>
      </c>
    </row>
    <row r="103" spans="2:18" s="424" customFormat="1" ht="14.25" customHeight="1" x14ac:dyDescent="0.25">
      <c r="B103" s="417"/>
      <c r="C103" s="418"/>
      <c r="D103" s="417"/>
      <c r="E103" s="431"/>
      <c r="F103" s="422"/>
      <c r="G103" s="422"/>
      <c r="H103" s="422"/>
      <c r="I103" s="423"/>
      <c r="J103" s="422"/>
      <c r="K103" s="423"/>
      <c r="L103" s="423"/>
      <c r="M103" s="423"/>
    </row>
    <row r="104" spans="2:18" s="424" customFormat="1" ht="14.25" customHeight="1" x14ac:dyDescent="0.25">
      <c r="B104" s="417">
        <f t="shared" si="37"/>
        <v>104</v>
      </c>
      <c r="C104" s="425">
        <v>1</v>
      </c>
      <c r="D104" s="419">
        <v>102300100</v>
      </c>
      <c r="E104" s="417" t="str">
        <f>VLOOKUP("T.08.88",Translation,LanguageNo+1,FALSE)</f>
        <v>Schwankungsreserven Kapitalanlagen aus anteilgebundener Lebensversicherung</v>
      </c>
      <c r="F104" s="433"/>
      <c r="G104" s="434"/>
      <c r="H104" s="436"/>
      <c r="I104" s="423">
        <f>IF(ISBLANK(B104),"",F104+SUMPRODUCT(--($G$6:$G$247=B104),$H$6:$H$247,$C$6:$C$247)*C104-H104)</f>
        <v>0</v>
      </c>
      <c r="J104" s="436"/>
      <c r="K104" s="423">
        <f t="shared" ref="K104" si="38">$I104+$J104</f>
        <v>0</v>
      </c>
      <c r="L104" s="423">
        <f t="shared" ref="L104" si="39">$M104-$K104</f>
        <v>0</v>
      </c>
      <c r="M104" s="438">
        <f>'SST Balance Sheet BVG'!E104</f>
        <v>0</v>
      </c>
    </row>
    <row r="105" spans="2:18" s="84" customFormat="1" ht="14.25" customHeight="1" x14ac:dyDescent="0.25">
      <c r="B105" s="94"/>
      <c r="C105" s="221"/>
      <c r="D105" s="94"/>
      <c r="E105" s="134"/>
      <c r="F105" s="96"/>
      <c r="G105" s="96"/>
      <c r="H105" s="96"/>
      <c r="I105" s="222"/>
      <c r="J105" s="96"/>
      <c r="K105" s="222"/>
      <c r="L105" s="222"/>
      <c r="M105" s="222"/>
      <c r="N105" s="58"/>
    </row>
    <row r="106" spans="2:18" ht="14.25" customHeight="1" x14ac:dyDescent="0.25">
      <c r="B106" s="50">
        <f t="shared" si="37"/>
        <v>106</v>
      </c>
      <c r="C106" s="219"/>
      <c r="D106" s="320">
        <v>103000000</v>
      </c>
      <c r="E106" s="98" t="str">
        <f>VLOOKUP("T.08.89",Translation,LanguageNo+1,FALSE)</f>
        <v>1.3 Forderungen aus derivativen Finanzinstrumenten</v>
      </c>
      <c r="F106" s="99">
        <f>SUM(F107:F112)</f>
        <v>0</v>
      </c>
      <c r="G106" s="99"/>
      <c r="H106" s="99"/>
      <c r="I106" s="100">
        <f>SUM(I107:I112)</f>
        <v>0</v>
      </c>
      <c r="J106" s="99">
        <f>SUM(J107:J112)</f>
        <v>0</v>
      </c>
      <c r="K106" s="100">
        <f>SUM(K107:K112)</f>
        <v>0</v>
      </c>
      <c r="L106" s="217">
        <f t="shared" ref="L106:L112" si="40">$M106-$K106</f>
        <v>0</v>
      </c>
      <c r="M106" s="217">
        <f>'SST Balance Sheet BVG'!E106</f>
        <v>0</v>
      </c>
    </row>
    <row r="107" spans="2:18" ht="14.25" customHeight="1" x14ac:dyDescent="0.25">
      <c r="B107" s="50">
        <f t="shared" si="37"/>
        <v>107</v>
      </c>
      <c r="C107" s="219">
        <v>1</v>
      </c>
      <c r="D107" s="354" t="s">
        <v>1428</v>
      </c>
      <c r="E107" s="50" t="str">
        <f>VLOOKUP("T.08.90",Translation,LanguageNo+1,FALSE)</f>
        <v>Zinsrisikobezogene Instrumente</v>
      </c>
      <c r="F107" s="85"/>
      <c r="G107" s="48"/>
      <c r="H107" s="86"/>
      <c r="I107" s="217">
        <f t="shared" ref="I107:I112" si="41">IF(ISBLANK(B107),"",F107+SUMPRODUCT(--($G$6:$G$247=B107),$H$6:$H$247,$C$6:$C$247)*C107-H107)</f>
        <v>0</v>
      </c>
      <c r="J107" s="86"/>
      <c r="K107" s="217">
        <f t="shared" ref="K107:K112" si="42">$I107+$J107</f>
        <v>0</v>
      </c>
      <c r="L107" s="217">
        <f t="shared" si="40"/>
        <v>0</v>
      </c>
      <c r="M107" s="217">
        <f>'SST Balance Sheet BVG'!E107</f>
        <v>0</v>
      </c>
    </row>
    <row r="108" spans="2:18" ht="14.25" customHeight="1" x14ac:dyDescent="0.25">
      <c r="B108" s="50">
        <f t="shared" si="37"/>
        <v>108</v>
      </c>
      <c r="C108" s="219">
        <v>1</v>
      </c>
      <c r="D108" s="354" t="s">
        <v>1429</v>
      </c>
      <c r="E108" s="50" t="str">
        <f>VLOOKUP("T.08.91",Translation,LanguageNo+1,FALSE)</f>
        <v>Währungsrisikobezogene Instrumente</v>
      </c>
      <c r="F108" s="85"/>
      <c r="G108" s="48"/>
      <c r="H108" s="86"/>
      <c r="I108" s="217">
        <f t="shared" si="41"/>
        <v>0</v>
      </c>
      <c r="J108" s="86"/>
      <c r="K108" s="217">
        <f t="shared" si="42"/>
        <v>0</v>
      </c>
      <c r="L108" s="217">
        <f t="shared" si="40"/>
        <v>0</v>
      </c>
      <c r="M108" s="217">
        <f>'SST Balance Sheet BVG'!E108</f>
        <v>0</v>
      </c>
    </row>
    <row r="109" spans="2:18" ht="14.25" customHeight="1" x14ac:dyDescent="0.25">
      <c r="B109" s="50">
        <f t="shared" si="37"/>
        <v>109</v>
      </c>
      <c r="C109" s="219">
        <v>1</v>
      </c>
      <c r="D109" s="50" t="s">
        <v>1430</v>
      </c>
      <c r="E109" s="50" t="str">
        <f>VLOOKUP("T.08.92",Translation,LanguageNo+1,FALSE)</f>
        <v>(Aktien-)Marktrisikobezogene Instrumente</v>
      </c>
      <c r="F109" s="85"/>
      <c r="G109" s="48"/>
      <c r="H109" s="86"/>
      <c r="I109" s="217">
        <f t="shared" si="41"/>
        <v>0</v>
      </c>
      <c r="J109" s="86"/>
      <c r="K109" s="217">
        <f t="shared" si="42"/>
        <v>0</v>
      </c>
      <c r="L109" s="217">
        <f t="shared" si="40"/>
        <v>0</v>
      </c>
      <c r="M109" s="217">
        <f>'SST Balance Sheet BVG'!E109</f>
        <v>0</v>
      </c>
    </row>
    <row r="110" spans="2:18" ht="14.25" customHeight="1" x14ac:dyDescent="0.25">
      <c r="B110" s="50">
        <f t="shared" si="37"/>
        <v>110</v>
      </c>
      <c r="C110" s="219">
        <v>1</v>
      </c>
      <c r="D110" s="50" t="s">
        <v>1431</v>
      </c>
      <c r="E110" s="91" t="str">
        <f>VLOOKUP("T.08.93",Translation,LanguageNo+1,FALSE)</f>
        <v>Kreditrisikobezogene Instrumente</v>
      </c>
      <c r="F110" s="85"/>
      <c r="G110" s="48"/>
      <c r="H110" s="86"/>
      <c r="I110" s="217">
        <f t="shared" si="41"/>
        <v>0</v>
      </c>
      <c r="J110" s="86"/>
      <c r="K110" s="217">
        <f t="shared" si="42"/>
        <v>0</v>
      </c>
      <c r="L110" s="217">
        <f t="shared" si="40"/>
        <v>0</v>
      </c>
      <c r="M110" s="217">
        <f>'SST Balance Sheet BVG'!E110</f>
        <v>0</v>
      </c>
    </row>
    <row r="111" spans="2:18" s="84" customFormat="1" ht="14.25" customHeight="1" x14ac:dyDescent="0.25">
      <c r="B111" s="50">
        <f t="shared" ref="B111" si="43">ROW(B111)</f>
        <v>111</v>
      </c>
      <c r="C111" s="219">
        <v>1</v>
      </c>
      <c r="D111" s="354" t="s">
        <v>1432</v>
      </c>
      <c r="E111" s="145" t="str">
        <f>VLOOKUP("T.08.94",Translation,LanguageNo+1,FALSE)</f>
        <v>Versicherungsrisikobezogene Instrumente (z.B. Cat Derivate)</v>
      </c>
      <c r="F111" s="85"/>
      <c r="G111" s="48"/>
      <c r="H111" s="86"/>
      <c r="I111" s="217">
        <f t="shared" si="41"/>
        <v>0</v>
      </c>
      <c r="J111" s="86"/>
      <c r="K111" s="217">
        <f t="shared" si="42"/>
        <v>0</v>
      </c>
      <c r="L111" s="217">
        <f t="shared" si="40"/>
        <v>0</v>
      </c>
      <c r="M111" s="217">
        <f>'SST Balance Sheet BVG'!E111</f>
        <v>0</v>
      </c>
      <c r="N111" s="58"/>
    </row>
    <row r="112" spans="2:18" s="84" customFormat="1" ht="14.25" customHeight="1" x14ac:dyDescent="0.25">
      <c r="B112" s="50">
        <f>ROW(B112)</f>
        <v>112</v>
      </c>
      <c r="C112" s="219">
        <v>1</v>
      </c>
      <c r="D112" s="354" t="s">
        <v>1433</v>
      </c>
      <c r="E112" s="145" t="str">
        <f>VLOOKUP("T.08.95",Translation,LanguageNo+1,FALSE)</f>
        <v>Übrige derivative Instrumente</v>
      </c>
      <c r="F112" s="92"/>
      <c r="G112" s="143"/>
      <c r="H112" s="220"/>
      <c r="I112" s="217">
        <f t="shared" si="41"/>
        <v>0</v>
      </c>
      <c r="J112" s="220"/>
      <c r="K112" s="217">
        <f t="shared" si="42"/>
        <v>0</v>
      </c>
      <c r="L112" s="217">
        <f t="shared" si="40"/>
        <v>0</v>
      </c>
      <c r="M112" s="217">
        <f>'SST Balance Sheet BVG'!E112</f>
        <v>0</v>
      </c>
      <c r="N112" s="58"/>
      <c r="O112" s="58"/>
      <c r="P112" s="58"/>
      <c r="Q112" s="58"/>
      <c r="R112" s="58"/>
    </row>
    <row r="113" spans="2:13" ht="14.25" customHeight="1" x14ac:dyDescent="0.25">
      <c r="B113" s="101"/>
      <c r="C113" s="224"/>
      <c r="D113" s="101"/>
      <c r="E113" s="95"/>
      <c r="F113" s="96"/>
      <c r="G113" s="96"/>
      <c r="H113" s="96"/>
      <c r="I113" s="222"/>
      <c r="J113" s="96"/>
      <c r="K113" s="222"/>
      <c r="L113" s="222"/>
      <c r="M113" s="222"/>
    </row>
    <row r="114" spans="2:13" ht="14.25" customHeight="1" x14ac:dyDescent="0.25">
      <c r="B114" s="50">
        <f t="shared" ref="B114:B117" si="44">ROW(B114)</f>
        <v>114</v>
      </c>
      <c r="C114" s="219">
        <v>1</v>
      </c>
      <c r="D114" s="320">
        <v>104000000</v>
      </c>
      <c r="E114" s="98" t="str">
        <f>VLOOKUP("T.08.96",Translation,LanguageNo+1,FALSE)</f>
        <v>1.4 Depotforderungen aus übernommener Rückversicherung</v>
      </c>
      <c r="F114" s="52"/>
      <c r="G114" s="51"/>
      <c r="H114" s="144"/>
      <c r="I114" s="217">
        <f>IF(ISBLANK(B114),"",F114+SUMPRODUCT(--($G$6:$G$247=B114),$H$6:$H$247,$C$6:$C$247)*C114-H114)</f>
        <v>0</v>
      </c>
      <c r="J114" s="230"/>
      <c r="K114" s="217">
        <f t="shared" ref="K114" si="45">$I114+$J114</f>
        <v>0</v>
      </c>
      <c r="L114" s="217">
        <f t="shared" ref="L114" si="46">$M114-$K114</f>
        <v>0</v>
      </c>
      <c r="M114" s="217">
        <f>'SST Balance Sheet BVG'!E114</f>
        <v>0</v>
      </c>
    </row>
    <row r="115" spans="2:13" s="84" customFormat="1" ht="14.25" customHeight="1" x14ac:dyDescent="0.25">
      <c r="B115" s="101"/>
      <c r="C115" s="224"/>
      <c r="D115" s="101"/>
      <c r="E115" s="158"/>
      <c r="F115" s="96"/>
      <c r="G115" s="96"/>
      <c r="H115" s="96"/>
      <c r="I115" s="222"/>
      <c r="J115" s="96"/>
      <c r="K115" s="222"/>
      <c r="L115" s="222"/>
      <c r="M115" s="222"/>
    </row>
    <row r="116" spans="2:13" ht="14.25" customHeight="1" x14ac:dyDescent="0.25">
      <c r="B116" s="50">
        <f t="shared" si="44"/>
        <v>116</v>
      </c>
      <c r="C116" s="219">
        <v>1</v>
      </c>
      <c r="D116" s="320">
        <v>105000000</v>
      </c>
      <c r="E116" s="98" t="str">
        <f>VLOOKUP("T.08.97",Translation,LanguageNo+1,FALSE)</f>
        <v>1.5 Flüssige Mittel</v>
      </c>
      <c r="F116" s="99">
        <f>SUM(F117:F119)</f>
        <v>0</v>
      </c>
      <c r="G116" s="99"/>
      <c r="H116" s="99"/>
      <c r="I116" s="100">
        <f>SUM(I117:I119)</f>
        <v>0</v>
      </c>
      <c r="J116" s="99">
        <f>SUM(J117:J119)</f>
        <v>0</v>
      </c>
      <c r="K116" s="100">
        <f>SUM(K117:K119)</f>
        <v>0</v>
      </c>
      <c r="L116" s="217">
        <f t="shared" ref="L116:L119" si="47">$M116-$K116</f>
        <v>0</v>
      </c>
      <c r="M116" s="217">
        <f>'SST Balance Sheet BVG'!E116</f>
        <v>0</v>
      </c>
    </row>
    <row r="117" spans="2:13" ht="14.25" customHeight="1" x14ac:dyDescent="0.25">
      <c r="B117" s="50">
        <f t="shared" si="44"/>
        <v>117</v>
      </c>
      <c r="C117" s="219">
        <v>1</v>
      </c>
      <c r="D117" s="320">
        <v>105000100</v>
      </c>
      <c r="E117" s="50" t="str">
        <f>VLOOKUP("T.08.98",Translation,LanguageNo+1,FALSE)</f>
        <v>Bargeld</v>
      </c>
      <c r="F117" s="85"/>
      <c r="G117" s="48"/>
      <c r="H117" s="104"/>
      <c r="I117" s="217">
        <f>IF(ISBLANK(B117),"",F117+SUMPRODUCT(--($G$6:$G$247=B117),$H$6:$H$247,$C$6:$C$247)*C117-H117)</f>
        <v>0</v>
      </c>
      <c r="J117" s="86"/>
      <c r="K117" s="217">
        <f t="shared" ref="K117:K119" si="48">$I117+$J117</f>
        <v>0</v>
      </c>
      <c r="L117" s="217">
        <f t="shared" si="47"/>
        <v>0</v>
      </c>
      <c r="M117" s="217">
        <f>'SST Balance Sheet BVG'!E117</f>
        <v>0</v>
      </c>
    </row>
    <row r="118" spans="2:13" ht="14.25" customHeight="1" x14ac:dyDescent="0.25">
      <c r="B118" s="50">
        <f t="shared" ref="B118:B132" si="49">ROW(B118)</f>
        <v>118</v>
      </c>
      <c r="C118" s="219">
        <v>1</v>
      </c>
      <c r="D118" s="320">
        <v>105000200</v>
      </c>
      <c r="E118" s="145" t="str">
        <f>VLOOKUP("T.08.99",Translation,LanguageNo+1,FALSE)</f>
        <v>Bankguthaben</v>
      </c>
      <c r="F118" s="85"/>
      <c r="G118" s="48"/>
      <c r="H118" s="104"/>
      <c r="I118" s="217">
        <f>IF(ISBLANK(B118),"",F118+SUMPRODUCT(--($G$6:$G$247=B118),$H$6:$H$247,$C$6:$C$247)*C118-H118)</f>
        <v>0</v>
      </c>
      <c r="J118" s="86"/>
      <c r="K118" s="217">
        <f t="shared" si="48"/>
        <v>0</v>
      </c>
      <c r="L118" s="217">
        <f t="shared" si="47"/>
        <v>0</v>
      </c>
      <c r="M118" s="217">
        <f>'SST Balance Sheet BVG'!E118</f>
        <v>0</v>
      </c>
    </row>
    <row r="119" spans="2:13" ht="14.25" customHeight="1" x14ac:dyDescent="0.25">
      <c r="B119" s="50">
        <f t="shared" si="49"/>
        <v>119</v>
      </c>
      <c r="C119" s="219">
        <v>1</v>
      </c>
      <c r="D119" s="139">
        <v>105000300</v>
      </c>
      <c r="E119" s="50" t="str">
        <f>VLOOKUP("T.08.100",Translation,LanguageNo+1,FALSE)</f>
        <v>Forderungen aus Geldmarktanlagen</v>
      </c>
      <c r="F119" s="92"/>
      <c r="G119" s="143"/>
      <c r="H119" s="121"/>
      <c r="I119" s="217">
        <f>IF(ISBLANK(B119),"",F119+SUMPRODUCT(--($G$6:$G$247=B119),$H$6:$H$247,$C$6:$C$247)*C119-H119)</f>
        <v>0</v>
      </c>
      <c r="J119" s="220"/>
      <c r="K119" s="217">
        <f t="shared" si="48"/>
        <v>0</v>
      </c>
      <c r="L119" s="217">
        <f t="shared" si="47"/>
        <v>0</v>
      </c>
      <c r="M119" s="217">
        <f>'SST Balance Sheet BVG'!E119</f>
        <v>0</v>
      </c>
    </row>
    <row r="120" spans="2:13" s="84" customFormat="1" ht="14.25" customHeight="1" x14ac:dyDescent="0.25">
      <c r="B120" s="94"/>
      <c r="C120" s="221"/>
      <c r="D120" s="94"/>
      <c r="E120" s="158"/>
      <c r="F120" s="96"/>
      <c r="G120" s="96"/>
      <c r="H120" s="96"/>
      <c r="I120" s="222"/>
      <c r="J120" s="96"/>
      <c r="K120" s="222"/>
      <c r="L120" s="222"/>
      <c r="M120" s="222"/>
    </row>
    <row r="121" spans="2:13" ht="14.25" customHeight="1" x14ac:dyDescent="0.25">
      <c r="B121" s="50">
        <f t="shared" si="49"/>
        <v>121</v>
      </c>
      <c r="C121" s="216"/>
      <c r="D121" s="139">
        <v>106000000</v>
      </c>
      <c r="E121" s="140" t="str">
        <f>VLOOKUP("T.08.101",Translation,LanguageNo+1,FALSE)</f>
        <v>1.6 Anteil versicherungstechnische Rückstellungen aus Rückversicherung</v>
      </c>
      <c r="F121" s="357">
        <f>F122+F124+F125+F127+SUM(F129:F134)</f>
        <v>0</v>
      </c>
      <c r="G121" s="49"/>
      <c r="H121" s="49"/>
      <c r="I121" s="357">
        <f>I122+I124+I125+I127+SUM(I129:I134)</f>
        <v>0</v>
      </c>
      <c r="J121" s="357">
        <f>J122+J124+J125+J127+SUM(J129:J134)</f>
        <v>0</v>
      </c>
      <c r="K121" s="357">
        <f>K122+K124+K125+K127+SUM(K129:K134)</f>
        <v>0</v>
      </c>
      <c r="L121" s="217">
        <f t="shared" ref="L121:L123" si="50">$M121-$K121</f>
        <v>0</v>
      </c>
      <c r="M121" s="217">
        <f>'SST Balance Sheet BVG'!E121</f>
        <v>0</v>
      </c>
    </row>
    <row r="122" spans="2:13" s="415" customFormat="1" ht="14.25" customHeight="1" x14ac:dyDescent="0.25">
      <c r="B122" s="460">
        <f t="shared" si="49"/>
        <v>122</v>
      </c>
      <c r="C122" s="461">
        <v>1</v>
      </c>
      <c r="D122" s="462">
        <v>106101000</v>
      </c>
      <c r="E122" s="460" t="str">
        <f>VLOOKUP("T.08.102",Translation,LanguageNo+1,FALSE)</f>
        <v>Direktversicherung: Lebensversicherungsgeschäft (ohne ALV)</v>
      </c>
      <c r="F122" s="463"/>
      <c r="G122" s="464"/>
      <c r="H122" s="465"/>
      <c r="I122" s="466">
        <f>IF(ISBLANK(B122),"",F122+SUMPRODUCT(--($G$6:$G$247=B122),$H$6:$H$247,$C$6:$C$247)*C122-H122)</f>
        <v>0</v>
      </c>
      <c r="J122" s="467"/>
      <c r="K122" s="466">
        <f t="shared" ref="K122:K123" si="51">$I122+$J122</f>
        <v>0</v>
      </c>
      <c r="L122" s="466">
        <f t="shared" si="50"/>
        <v>0</v>
      </c>
      <c r="M122" s="466">
        <f>'SST Balance Sheet BVG'!E122</f>
        <v>0</v>
      </c>
    </row>
    <row r="123" spans="2:13" s="459" customFormat="1" ht="14.25" customHeight="1" x14ac:dyDescent="0.25">
      <c r="B123" s="456">
        <f t="shared" si="49"/>
        <v>123</v>
      </c>
      <c r="C123" s="484"/>
      <c r="D123" s="456"/>
      <c r="E123" s="485" t="str">
        <f>VLOOKUP("T.08.103",Translation,LanguageNo+1,FALSE)</f>
        <v>davon Anteil Rückversicherer (Leben) am Überschussfonds</v>
      </c>
      <c r="F123" s="463"/>
      <c r="G123" s="464"/>
      <c r="H123" s="465"/>
      <c r="I123" s="458">
        <f>IF(ISBLANK(B123),"",F123+SUMPRODUCT(--($G$6:$G$247=B123),$H$6:$H$247,$C$6:$C$247)*C123-H123)</f>
        <v>0</v>
      </c>
      <c r="J123" s="467"/>
      <c r="K123" s="458">
        <f t="shared" si="51"/>
        <v>0</v>
      </c>
      <c r="L123" s="458">
        <f t="shared" si="50"/>
        <v>0</v>
      </c>
      <c r="M123" s="458">
        <f>'SST Balance Sheet BVG'!E123</f>
        <v>0</v>
      </c>
    </row>
    <row r="124" spans="2:13" s="415" customFormat="1" ht="14.25" customHeight="1" x14ac:dyDescent="0.25">
      <c r="B124" s="460">
        <f t="shared" si="49"/>
        <v>124</v>
      </c>
      <c r="C124" s="461">
        <v>1</v>
      </c>
      <c r="D124" s="462">
        <v>106102000</v>
      </c>
      <c r="E124" s="460" t="str">
        <f>VLOOKUP("T.08.104",Translation,LanguageNo+1,FALSE)</f>
        <v>Aktive Rückversicherung: Lebensversicherungsgeschäft (ohne ALV)</v>
      </c>
      <c r="F124" s="463"/>
      <c r="G124" s="464"/>
      <c r="H124" s="465"/>
      <c r="I124" s="466">
        <f>IF(ISBLANK(B124),"",F124+SUMPRODUCT(--($G$6:$G$247=B124),$H$6:$H$247,$C$6:$C$247)*C124-H124)</f>
        <v>0</v>
      </c>
      <c r="J124" s="467"/>
      <c r="K124" s="466">
        <f t="shared" ref="K124:K125" si="52">$I124+$J124</f>
        <v>0</v>
      </c>
      <c r="L124" s="466">
        <f t="shared" ref="L124:L125" si="53">$M124-$K124</f>
        <v>0</v>
      </c>
      <c r="M124" s="466">
        <f>'SST Balance Sheet BVG'!E124</f>
        <v>0</v>
      </c>
    </row>
    <row r="125" spans="2:13" s="424" customFormat="1" ht="14.25" customHeight="1" x14ac:dyDescent="0.25">
      <c r="B125" s="417">
        <f t="shared" si="49"/>
        <v>125</v>
      </c>
      <c r="C125" s="425">
        <v>1</v>
      </c>
      <c r="D125" s="417">
        <v>106201000</v>
      </c>
      <c r="E125" s="439" t="str">
        <f>VLOOKUP("T.08.105",Translation,LanguageNo+1,FALSE)</f>
        <v>Direktversicherung: Schadenversicherungsgeschäft</v>
      </c>
      <c r="F125" s="436"/>
      <c r="G125" s="433"/>
      <c r="H125" s="435"/>
      <c r="I125" s="423">
        <f>IF(ISBLANK(B125),"",F125+SUMPRODUCT(--($G$6:$G$247=B125),$H$6:$H$247,$C$6:$C$247)*C125-H125)</f>
        <v>0</v>
      </c>
      <c r="J125" s="436"/>
      <c r="K125" s="423">
        <f t="shared" si="52"/>
        <v>0</v>
      </c>
      <c r="L125" s="423">
        <f t="shared" si="53"/>
        <v>0</v>
      </c>
      <c r="M125" s="423">
        <f>'SST Balance Sheet BVG'!E125</f>
        <v>0</v>
      </c>
    </row>
    <row r="126" spans="2:13" s="424" customFormat="1" ht="14.25" customHeight="1" x14ac:dyDescent="0.25">
      <c r="B126" s="417">
        <f t="shared" si="49"/>
        <v>126</v>
      </c>
      <c r="C126" s="425"/>
      <c r="D126" s="440"/>
      <c r="E126" s="431" t="str">
        <f>VLOOKUP("T.08.106",Translation,LanguageNo+1,FALSE)</f>
        <v>davon Anteil Rückversicherer (Schaden) am Überschussfonds</v>
      </c>
      <c r="F126" s="436"/>
      <c r="G126" s="441"/>
      <c r="H126" s="441"/>
      <c r="I126" s="423"/>
      <c r="J126" s="441"/>
      <c r="K126" s="423"/>
      <c r="L126" s="423"/>
      <c r="M126" s="423"/>
    </row>
    <row r="127" spans="2:13" s="424" customFormat="1" ht="14.25" customHeight="1" x14ac:dyDescent="0.25">
      <c r="B127" s="417">
        <f t="shared" si="49"/>
        <v>127</v>
      </c>
      <c r="C127" s="425">
        <v>1</v>
      </c>
      <c r="D127" s="417">
        <v>106202000</v>
      </c>
      <c r="E127" s="417" t="str">
        <f>VLOOKUP("T.08.107",Translation,LanguageNo+1,FALSE)</f>
        <v>Direktversicherung: Krankenversicherungsgeschäft</v>
      </c>
      <c r="F127" s="436"/>
      <c r="G127" s="433"/>
      <c r="H127" s="435"/>
      <c r="I127" s="423">
        <f>IF(ISBLANK(B127),"",F127+SUMPRODUCT(--($G$6:$G$247=B127),$H$6:$H$247,$C$6:$C$247)*C127-H127)</f>
        <v>0</v>
      </c>
      <c r="J127" s="436"/>
      <c r="K127" s="423">
        <f t="shared" ref="K127" si="54">$I127+$J127</f>
        <v>0</v>
      </c>
      <c r="L127" s="423">
        <f t="shared" ref="L127" si="55">$M127-$K127</f>
        <v>0</v>
      </c>
      <c r="M127" s="423">
        <f>'SST Balance Sheet BVG'!E127</f>
        <v>0</v>
      </c>
    </row>
    <row r="128" spans="2:13" s="424" customFormat="1" ht="14.25" customHeight="1" x14ac:dyDescent="0.25">
      <c r="B128" s="417">
        <f t="shared" si="49"/>
        <v>128</v>
      </c>
      <c r="C128" s="425"/>
      <c r="D128" s="440"/>
      <c r="E128" s="431" t="str">
        <f>VLOOKUP("T.08.108",Translation,LanguageNo+1,FALSE)</f>
        <v>davon Anteil Rückversicherer (Kranken) am Überschussfonds</v>
      </c>
      <c r="F128" s="436"/>
      <c r="G128" s="441"/>
      <c r="H128" s="441"/>
      <c r="I128" s="423"/>
      <c r="J128" s="441"/>
      <c r="K128" s="423"/>
      <c r="L128" s="423"/>
      <c r="M128" s="423"/>
    </row>
    <row r="129" spans="2:13" s="424" customFormat="1" ht="14.25" customHeight="1" x14ac:dyDescent="0.25">
      <c r="B129" s="417">
        <f t="shared" si="49"/>
        <v>129</v>
      </c>
      <c r="C129" s="425">
        <v>1</v>
      </c>
      <c r="D129" s="440">
        <v>106203000</v>
      </c>
      <c r="E129" s="417" t="str">
        <f>VLOOKUP("T.08.109",Translation,LanguageNo+1,FALSE)</f>
        <v>Aktive Rückversicherung: Schadenversicherungsgeschäft</v>
      </c>
      <c r="F129" s="433"/>
      <c r="G129" s="434"/>
      <c r="H129" s="435"/>
      <c r="I129" s="423">
        <f t="shared" ref="I129:I134" si="56">IF(ISBLANK(B129),"",F129+SUMPRODUCT(--($G$6:$G$247=B129),$H$6:$H$247,$C$6:$C$247)*C129-H129)</f>
        <v>0</v>
      </c>
      <c r="J129" s="436"/>
      <c r="K129" s="423">
        <f t="shared" ref="K129:K134" si="57">$I129+$J129</f>
        <v>0</v>
      </c>
      <c r="L129" s="423">
        <f t="shared" ref="L129:L134" si="58">$M129-$K129</f>
        <v>0</v>
      </c>
      <c r="M129" s="423">
        <f>'SST Balance Sheet BVG'!E129</f>
        <v>0</v>
      </c>
    </row>
    <row r="130" spans="2:13" s="424" customFormat="1" ht="14.25" customHeight="1" x14ac:dyDescent="0.25">
      <c r="B130" s="417">
        <f t="shared" si="49"/>
        <v>130</v>
      </c>
      <c r="C130" s="425">
        <v>1</v>
      </c>
      <c r="D130" s="440">
        <v>106204000</v>
      </c>
      <c r="E130" s="417" t="str">
        <f>VLOOKUP("T.08.110",Translation,LanguageNo+1,FALSE)</f>
        <v>Aktive Rückversicherung: Krankenversicherungsgeschäft</v>
      </c>
      <c r="F130" s="433"/>
      <c r="G130" s="434"/>
      <c r="H130" s="435"/>
      <c r="I130" s="423">
        <f t="shared" si="56"/>
        <v>0</v>
      </c>
      <c r="J130" s="436"/>
      <c r="K130" s="423">
        <f t="shared" si="57"/>
        <v>0</v>
      </c>
      <c r="L130" s="423">
        <f t="shared" si="58"/>
        <v>0</v>
      </c>
      <c r="M130" s="423">
        <f>'SST Balance Sheet BVG'!E130</f>
        <v>0</v>
      </c>
    </row>
    <row r="131" spans="2:13" s="424" customFormat="1" ht="14.25" customHeight="1" x14ac:dyDescent="0.25">
      <c r="B131" s="417">
        <f t="shared" si="49"/>
        <v>131</v>
      </c>
      <c r="C131" s="425">
        <v>1</v>
      </c>
      <c r="D131" s="440"/>
      <c r="E131" s="417" t="str">
        <f>VLOOKUP("T.08.111",Translation,LanguageNo+1,FALSE)</f>
        <v>Direktversicherung: Sonstiges Geschäft</v>
      </c>
      <c r="F131" s="433"/>
      <c r="G131" s="434"/>
      <c r="H131" s="435"/>
      <c r="I131" s="423">
        <f t="shared" si="56"/>
        <v>0</v>
      </c>
      <c r="J131" s="436"/>
      <c r="K131" s="423">
        <f t="shared" si="57"/>
        <v>0</v>
      </c>
      <c r="L131" s="423">
        <f t="shared" si="58"/>
        <v>0</v>
      </c>
      <c r="M131" s="423">
        <f>'SST Balance Sheet BVG'!E131</f>
        <v>0</v>
      </c>
    </row>
    <row r="132" spans="2:13" s="424" customFormat="1" ht="14.25" customHeight="1" x14ac:dyDescent="0.25">
      <c r="B132" s="417">
        <f t="shared" si="49"/>
        <v>132</v>
      </c>
      <c r="C132" s="425">
        <v>1</v>
      </c>
      <c r="D132" s="440"/>
      <c r="E132" s="417" t="str">
        <f>VLOOKUP("T.08.112",Translation,LanguageNo+1,FALSE)</f>
        <v>Aktive Rückversicherung: Sonstiges Geschäft</v>
      </c>
      <c r="F132" s="433"/>
      <c r="G132" s="434"/>
      <c r="H132" s="435"/>
      <c r="I132" s="423">
        <f t="shared" si="56"/>
        <v>0</v>
      </c>
      <c r="J132" s="436"/>
      <c r="K132" s="423">
        <f t="shared" si="57"/>
        <v>0</v>
      </c>
      <c r="L132" s="423">
        <f t="shared" si="58"/>
        <v>0</v>
      </c>
      <c r="M132" s="423">
        <f>'SST Balance Sheet BVG'!E132</f>
        <v>0</v>
      </c>
    </row>
    <row r="133" spans="2:13" s="424" customFormat="1" ht="14.25" customHeight="1" x14ac:dyDescent="0.25">
      <c r="B133" s="417">
        <f>ROW(B133)</f>
        <v>133</v>
      </c>
      <c r="C133" s="425">
        <v>1</v>
      </c>
      <c r="D133" s="440">
        <v>106301000</v>
      </c>
      <c r="E133" s="439" t="str">
        <f>VLOOKUP("T.08.113",Translation,LanguageNo+1,FALSE)</f>
        <v>Direktversicherung: Anteilgebundenes Lebensversicherungsgeschäft</v>
      </c>
      <c r="F133" s="433"/>
      <c r="G133" s="434"/>
      <c r="H133" s="435"/>
      <c r="I133" s="423">
        <f t="shared" si="56"/>
        <v>0</v>
      </c>
      <c r="J133" s="436"/>
      <c r="K133" s="423">
        <f t="shared" si="57"/>
        <v>0</v>
      </c>
      <c r="L133" s="423">
        <f t="shared" si="58"/>
        <v>0</v>
      </c>
      <c r="M133" s="423">
        <f>'SST Balance Sheet BVG'!E133</f>
        <v>0</v>
      </c>
    </row>
    <row r="134" spans="2:13" s="424" customFormat="1" ht="14.25" customHeight="1" x14ac:dyDescent="0.25">
      <c r="B134" s="417">
        <f>ROW(B134)</f>
        <v>134</v>
      </c>
      <c r="C134" s="425">
        <v>1</v>
      </c>
      <c r="D134" s="440">
        <v>106302000</v>
      </c>
      <c r="E134" s="417" t="str">
        <f>VLOOKUP("T.08.114",Translation,LanguageNo+1,FALSE)</f>
        <v>Aktive Rückversicherung: Anteilgebundenes Lebensversicherungsgeschäft</v>
      </c>
      <c r="F134" s="433"/>
      <c r="G134" s="434"/>
      <c r="H134" s="435"/>
      <c r="I134" s="423">
        <f t="shared" si="56"/>
        <v>0</v>
      </c>
      <c r="J134" s="436"/>
      <c r="K134" s="423">
        <f t="shared" si="57"/>
        <v>0</v>
      </c>
      <c r="L134" s="423">
        <f t="shared" si="58"/>
        <v>0</v>
      </c>
      <c r="M134" s="423">
        <f>'SST Balance Sheet BVG'!E134</f>
        <v>0</v>
      </c>
    </row>
    <row r="135" spans="2:13" ht="14.25" customHeight="1" x14ac:dyDescent="0.25">
      <c r="B135" s="94"/>
      <c r="C135" s="221"/>
      <c r="D135" s="94"/>
      <c r="E135" s="95"/>
      <c r="F135" s="96"/>
      <c r="G135" s="96"/>
      <c r="H135" s="96"/>
      <c r="I135" s="222"/>
      <c r="J135" s="96"/>
      <c r="K135" s="222"/>
      <c r="L135" s="222"/>
      <c r="M135" s="222"/>
    </row>
    <row r="136" spans="2:13" ht="14.25" customHeight="1" x14ac:dyDescent="0.25">
      <c r="B136" s="50">
        <f t="shared" ref="B136" si="59">ROW(B136)</f>
        <v>136</v>
      </c>
      <c r="C136" s="219"/>
      <c r="D136" s="50">
        <v>107000000</v>
      </c>
      <c r="E136" s="98" t="str">
        <f>VLOOKUP("T.08.115",Translation,LanguageNo+1,FALSE)</f>
        <v>1.7 Sachanlagen</v>
      </c>
      <c r="F136" s="99">
        <f>SUM(F137:F138)</f>
        <v>0</v>
      </c>
      <c r="G136" s="99"/>
      <c r="H136" s="99"/>
      <c r="I136" s="100">
        <f>SUM(I137:I138)</f>
        <v>0</v>
      </c>
      <c r="J136" s="99">
        <f>SUM(J137:J138)</f>
        <v>0</v>
      </c>
      <c r="K136" s="100">
        <f>SUM(K137:K138)</f>
        <v>0</v>
      </c>
      <c r="L136" s="217">
        <f t="shared" ref="L136:L138" si="60">$M136-$K136</f>
        <v>0</v>
      </c>
      <c r="M136" s="217">
        <f>'SST Balance Sheet BVG'!E136</f>
        <v>0</v>
      </c>
    </row>
    <row r="137" spans="2:13" ht="14.25" customHeight="1" x14ac:dyDescent="0.25">
      <c r="B137" s="50">
        <f t="shared" ref="B137" si="61">ROW(B137)</f>
        <v>137</v>
      </c>
      <c r="C137" s="219">
        <v>1</v>
      </c>
      <c r="D137" s="139">
        <v>107000200</v>
      </c>
      <c r="E137" s="145" t="str">
        <f>VLOOKUP("T.08.116",Translation,LanguageNo+1,FALSE)</f>
        <v>Betriebsliegenschaften</v>
      </c>
      <c r="F137" s="85"/>
      <c r="G137" s="48"/>
      <c r="H137" s="104"/>
      <c r="I137" s="217">
        <f>IF(ISBLANK(B137),"",F137+SUMPRODUCT(--($G$6:$G$247=B137),$H$6:$H$247,$C$6:$C$247)*C137-H137)</f>
        <v>0</v>
      </c>
      <c r="J137" s="86"/>
      <c r="K137" s="217">
        <f t="shared" ref="K137:K138" si="62">$I137+$J137</f>
        <v>0</v>
      </c>
      <c r="L137" s="217">
        <f t="shared" si="60"/>
        <v>0</v>
      </c>
      <c r="M137" s="217">
        <f>'SST Balance Sheet BVG'!E137</f>
        <v>0</v>
      </c>
    </row>
    <row r="138" spans="2:13" ht="14.25" customHeight="1" x14ac:dyDescent="0.25">
      <c r="B138" s="50">
        <f t="shared" ref="B138" si="63">ROW(B138)</f>
        <v>138</v>
      </c>
      <c r="C138" s="219">
        <v>1</v>
      </c>
      <c r="D138" s="321" t="s">
        <v>181</v>
      </c>
      <c r="E138" s="50" t="str">
        <f>VLOOKUP("T.08.117",Translation,LanguageNo+1,FALSE)</f>
        <v>Sonstige Sachanlagen</v>
      </c>
      <c r="F138" s="92"/>
      <c r="G138" s="143"/>
      <c r="H138" s="121"/>
      <c r="I138" s="217">
        <f>IF(ISBLANK(B138),"",F138+SUMPRODUCT(--($G$6:$G$247=B138),$H$6:$H$247,$C$6:$C$247)*C138-H138)</f>
        <v>0</v>
      </c>
      <c r="J138" s="220"/>
      <c r="K138" s="217">
        <f t="shared" si="62"/>
        <v>0</v>
      </c>
      <c r="L138" s="217">
        <f t="shared" si="60"/>
        <v>0</v>
      </c>
      <c r="M138" s="217">
        <f>'SST Balance Sheet BVG'!E138</f>
        <v>0</v>
      </c>
    </row>
    <row r="139" spans="2:13" ht="14.25" customHeight="1" x14ac:dyDescent="0.25">
      <c r="B139" s="94"/>
      <c r="C139" s="221"/>
      <c r="D139" s="94"/>
      <c r="E139" s="93"/>
      <c r="F139" s="96"/>
      <c r="G139" s="96"/>
      <c r="H139" s="96"/>
      <c r="I139" s="222"/>
      <c r="J139" s="96"/>
      <c r="K139" s="222"/>
      <c r="L139" s="222"/>
      <c r="M139" s="222"/>
    </row>
    <row r="140" spans="2:13" ht="14.25" customHeight="1" x14ac:dyDescent="0.25">
      <c r="B140" s="50">
        <f t="shared" ref="B140:B148" si="64">ROW(B140)</f>
        <v>140</v>
      </c>
      <c r="C140" s="219">
        <v>1</v>
      </c>
      <c r="D140" s="139">
        <v>108000000</v>
      </c>
      <c r="E140" s="122" t="str">
        <f>VLOOKUP("T.08.118",Translation,LanguageNo+1,FALSE)</f>
        <v>1.8 Aktivierte Abschlusskosten</v>
      </c>
      <c r="F140" s="52"/>
      <c r="G140" s="51"/>
      <c r="H140" s="144"/>
      <c r="I140" s="217">
        <f>IF(ISBLANK(B140),"",F140+SUMPRODUCT(--($G$6:$G$247=B140),$H$6:$H$247,$C$6:$C$247)*C140-H140)</f>
        <v>0</v>
      </c>
      <c r="J140" s="230"/>
      <c r="K140" s="217">
        <f t="shared" ref="K140" si="65">$I140+$J140</f>
        <v>0</v>
      </c>
      <c r="L140" s="217">
        <f t="shared" ref="L140" si="66">$M140-$K140</f>
        <v>0</v>
      </c>
      <c r="M140" s="356">
        <f>'SST Balance Sheet BVG'!E140</f>
        <v>0</v>
      </c>
    </row>
    <row r="141" spans="2:13" s="84" customFormat="1" ht="14.25" customHeight="1" x14ac:dyDescent="0.25">
      <c r="B141" s="94"/>
      <c r="C141" s="221"/>
      <c r="D141" s="94"/>
      <c r="E141" s="222"/>
      <c r="F141" s="96"/>
      <c r="G141" s="96"/>
      <c r="H141" s="96"/>
      <c r="I141" s="222"/>
      <c r="J141" s="96"/>
      <c r="K141" s="222"/>
      <c r="L141" s="222"/>
      <c r="M141" s="222"/>
    </row>
    <row r="142" spans="2:13" ht="14.25" customHeight="1" x14ac:dyDescent="0.25">
      <c r="B142" s="50">
        <f t="shared" si="64"/>
        <v>142</v>
      </c>
      <c r="C142" s="219">
        <v>1</v>
      </c>
      <c r="D142" s="139">
        <v>109000000</v>
      </c>
      <c r="E142" s="98" t="str">
        <f>VLOOKUP("T.08.119",Translation,LanguageNo+1,FALSE)</f>
        <v>1.9 Immaterielle Vermögenswerte</v>
      </c>
      <c r="F142" s="52"/>
      <c r="G142" s="51"/>
      <c r="H142" s="144"/>
      <c r="I142" s="217">
        <f>IF(ISBLANK(B142),"",F142+SUMPRODUCT(--($G$6:$G$247=B142),$H$6:$H$247,$C$6:$C$247)*C142-H142)</f>
        <v>0</v>
      </c>
      <c r="J142" s="230"/>
      <c r="K142" s="217">
        <f t="shared" ref="K142" si="67">$I142+$J142</f>
        <v>0</v>
      </c>
      <c r="L142" s="217">
        <f t="shared" ref="L142" si="68">$M142-$K142</f>
        <v>0</v>
      </c>
      <c r="M142" s="217">
        <f>'SST Balance Sheet BVG'!E142</f>
        <v>0</v>
      </c>
    </row>
    <row r="143" spans="2:13" s="84" customFormat="1" ht="14.25" customHeight="1" x14ac:dyDescent="0.25">
      <c r="B143" s="94"/>
      <c r="C143" s="221"/>
      <c r="D143" s="94"/>
      <c r="E143" s="222"/>
      <c r="F143" s="96"/>
      <c r="G143" s="96"/>
      <c r="H143" s="96"/>
      <c r="I143" s="222"/>
      <c r="J143" s="96"/>
      <c r="K143" s="222"/>
      <c r="L143" s="222"/>
      <c r="M143" s="222"/>
    </row>
    <row r="144" spans="2:13" ht="14.25" customHeight="1" x14ac:dyDescent="0.25">
      <c r="B144" s="50">
        <f t="shared" si="64"/>
        <v>144</v>
      </c>
      <c r="C144" s="225"/>
      <c r="D144" s="139">
        <v>110000000</v>
      </c>
      <c r="E144" s="98" t="str">
        <f>VLOOKUP("T.08.120",Translation,LanguageNo+1,FALSE)</f>
        <v>1.10 Forderungen aus dem Versicherungsgeschäft</v>
      </c>
      <c r="F144" s="99">
        <f>F145+F146+F150</f>
        <v>0</v>
      </c>
      <c r="G144" s="99"/>
      <c r="H144" s="99"/>
      <c r="I144" s="100">
        <f>I145+I146+I150</f>
        <v>0</v>
      </c>
      <c r="J144" s="99">
        <f>J145+J146+J150</f>
        <v>0</v>
      </c>
      <c r="K144" s="100">
        <f>K145+K146+K150</f>
        <v>0</v>
      </c>
      <c r="L144" s="217">
        <f t="shared" ref="L144:L149" si="69">$M144-$K144</f>
        <v>0</v>
      </c>
      <c r="M144" s="217">
        <f>'SST Balance Sheet BVG'!E144</f>
        <v>0</v>
      </c>
    </row>
    <row r="145" spans="2:14" ht="14.25" customHeight="1" x14ac:dyDescent="0.25">
      <c r="B145" s="50">
        <f t="shared" si="64"/>
        <v>145</v>
      </c>
      <c r="C145" s="219">
        <v>1</v>
      </c>
      <c r="D145" s="139">
        <v>110100000</v>
      </c>
      <c r="E145" s="145" t="str">
        <f>VLOOKUP("T.08.121",Translation,LanguageNo+1,FALSE)</f>
        <v>Forderungen gegenüber Versicherungsnehmern und Agenten</v>
      </c>
      <c r="F145" s="85"/>
      <c r="G145" s="48"/>
      <c r="H145" s="104"/>
      <c r="I145" s="217">
        <f>IF(ISBLANK(B145),"",F145+SUMPRODUCT(--($G$6:$G$247=B145),$H$6:$H$247,$C$6:$C$247)*C145-H145)</f>
        <v>0</v>
      </c>
      <c r="J145" s="86"/>
      <c r="K145" s="217">
        <f t="shared" ref="K145" si="70">$I145+$J145</f>
        <v>0</v>
      </c>
      <c r="L145" s="217">
        <f t="shared" si="69"/>
        <v>0</v>
      </c>
      <c r="M145" s="217">
        <f>'SST Balance Sheet BVG'!E145</f>
        <v>0</v>
      </c>
    </row>
    <row r="146" spans="2:14" ht="14.25" customHeight="1" x14ac:dyDescent="0.25">
      <c r="B146" s="50">
        <f t="shared" si="64"/>
        <v>146</v>
      </c>
      <c r="D146" s="139">
        <v>110200000</v>
      </c>
      <c r="E146" s="50" t="str">
        <f>VLOOKUP("T.08.122",Translation,LanguageNo+1,FALSE)</f>
        <v>Forderungen gegenüber Versicherungs- und Rückversicherungsgesellschaften</v>
      </c>
      <c r="F146" s="49">
        <f>SUM(F147:F149)</f>
        <v>0</v>
      </c>
      <c r="G146" s="49"/>
      <c r="H146" s="49"/>
      <c r="I146" s="228">
        <f>SUM(I147:I149)</f>
        <v>0</v>
      </c>
      <c r="J146" s="49">
        <f>SUM(J147:J149)</f>
        <v>0</v>
      </c>
      <c r="K146" s="228">
        <f>SUM(K147:K149)</f>
        <v>0</v>
      </c>
      <c r="L146" s="217">
        <f t="shared" si="69"/>
        <v>0</v>
      </c>
      <c r="M146" s="217">
        <f>'SST Balance Sheet BVG'!E146</f>
        <v>0</v>
      </c>
    </row>
    <row r="147" spans="2:14" ht="14.25" customHeight="1" x14ac:dyDescent="0.25">
      <c r="B147" s="50">
        <f t="shared" si="64"/>
        <v>147</v>
      </c>
      <c r="C147" s="219">
        <v>1</v>
      </c>
      <c r="D147" s="50">
        <v>110200100</v>
      </c>
      <c r="E147" s="133" t="str">
        <f>VLOOKUP("T.08.123",Translation,LanguageNo+1,FALSE)</f>
        <v>Forderungen gegenüber Versicherungsgesellschaften: abgegebene</v>
      </c>
      <c r="F147" s="85"/>
      <c r="G147" s="48"/>
      <c r="H147" s="104"/>
      <c r="I147" s="217">
        <f>IF(ISBLANK(B147),"",F147+SUMPRODUCT(--($G$6:$G$247=B147),$H$6:$H$247,$C$6:$C$247)*C147-H147)</f>
        <v>0</v>
      </c>
      <c r="J147" s="86"/>
      <c r="K147" s="217">
        <f t="shared" ref="K147:K149" si="71">$I147+$J147</f>
        <v>0</v>
      </c>
      <c r="L147" s="217">
        <f t="shared" si="69"/>
        <v>0</v>
      </c>
      <c r="M147" s="217">
        <f>'SST Balance Sheet BVG'!E147</f>
        <v>0</v>
      </c>
    </row>
    <row r="148" spans="2:14" ht="14.25" customHeight="1" x14ac:dyDescent="0.25">
      <c r="B148" s="50">
        <f t="shared" si="64"/>
        <v>148</v>
      </c>
      <c r="C148" s="219">
        <v>1</v>
      </c>
      <c r="D148" s="50">
        <v>110200200</v>
      </c>
      <c r="E148" s="133" t="str">
        <f>VLOOKUP("T.08.124",Translation,LanguageNo+1,FALSE)</f>
        <v>Forderungen gegenüber Versicherungsgesellschaften: übernommene</v>
      </c>
      <c r="F148" s="85"/>
      <c r="G148" s="48"/>
      <c r="H148" s="104"/>
      <c r="I148" s="217">
        <f>IF(ISBLANK(B148),"",F148+SUMPRODUCT(--($G$6:$G$247=B148),$H$6:$H$247,$C$6:$C$247)*C148-H148)</f>
        <v>0</v>
      </c>
      <c r="J148" s="86"/>
      <c r="K148" s="217">
        <f t="shared" si="71"/>
        <v>0</v>
      </c>
      <c r="L148" s="217">
        <f t="shared" si="69"/>
        <v>0</v>
      </c>
      <c r="M148" s="217">
        <f>'SST Balance Sheet BVG'!E148</f>
        <v>0</v>
      </c>
    </row>
    <row r="149" spans="2:14" s="84" customFormat="1" ht="14.25" customHeight="1" x14ac:dyDescent="0.25">
      <c r="B149" s="50">
        <f t="shared" ref="B149" si="72">ROW(B149)</f>
        <v>149</v>
      </c>
      <c r="C149" s="219">
        <v>1</v>
      </c>
      <c r="D149" s="139">
        <v>110200300</v>
      </c>
      <c r="E149" s="133" t="str">
        <f>VLOOKUP("T.08.125",Translation,LanguageNo+1,FALSE)</f>
        <v>Forderungen gegenüber Versicherungsgesellschaften: übrige</v>
      </c>
      <c r="F149" s="85"/>
      <c r="G149" s="48"/>
      <c r="H149" s="104"/>
      <c r="I149" s="217">
        <f>IF(ISBLANK(B149),"",F149+SUMPRODUCT(--($G$6:$G$247=B149),$H$6:$H$247,$C$6:$C$247)*C149-H149)</f>
        <v>0</v>
      </c>
      <c r="J149" s="86"/>
      <c r="K149" s="217">
        <f t="shared" si="71"/>
        <v>0</v>
      </c>
      <c r="L149" s="217">
        <f t="shared" si="69"/>
        <v>0</v>
      </c>
      <c r="M149" s="217">
        <f>'SST Balance Sheet BVG'!E149</f>
        <v>0</v>
      </c>
      <c r="N149" s="58"/>
    </row>
    <row r="150" spans="2:14" s="84" customFormat="1" ht="14.25" customHeight="1" x14ac:dyDescent="0.25">
      <c r="B150" s="50">
        <f>ROW(B150)</f>
        <v>150</v>
      </c>
      <c r="C150" s="219">
        <v>1</v>
      </c>
      <c r="D150" s="50" t="s">
        <v>1436</v>
      </c>
      <c r="E150" s="145" t="str">
        <f>VLOOKUP("T.08.126",Translation,LanguageNo+1,FALSE)</f>
        <v>Sonstige Depotforderungen und sonstige Forderungen aus dem Versicherungsgeschäft</v>
      </c>
      <c r="F150" s="85"/>
      <c r="G150" s="48"/>
      <c r="H150" s="104"/>
      <c r="I150" s="217">
        <f>IF(ISBLANK(B150),"",F150+SUMPRODUCT(--($G$6:$G$247=B150),$H$6:$H$247,$C$6:$C$247)*C150-H150)</f>
        <v>0</v>
      </c>
      <c r="J150" s="86"/>
      <c r="K150" s="217">
        <f t="shared" ref="K150" si="73">$I150+$J150</f>
        <v>0</v>
      </c>
      <c r="L150" s="217">
        <f t="shared" ref="L150" si="74">$M150-$K150</f>
        <v>0</v>
      </c>
      <c r="M150" s="217">
        <f>'SST Balance Sheet BVG'!E150</f>
        <v>0</v>
      </c>
      <c r="N150" s="58"/>
    </row>
    <row r="151" spans="2:14" s="84" customFormat="1" ht="14.25" customHeight="1" x14ac:dyDescent="0.25">
      <c r="B151" s="50">
        <f>ROW(B151)</f>
        <v>151</v>
      </c>
      <c r="D151" s="50"/>
      <c r="E151" s="133" t="str">
        <f>VLOOKUP("T.08.127",Translation,LanguageNo+1,FALSE)</f>
        <v>davon Forderungen gegenüber Beteiligungen</v>
      </c>
      <c r="F151" s="123"/>
      <c r="G151" s="226"/>
      <c r="H151" s="226"/>
      <c r="I151" s="217"/>
      <c r="J151" s="226"/>
      <c r="K151" s="217"/>
      <c r="L151" s="217"/>
      <c r="M151" s="217"/>
      <c r="N151" s="58"/>
    </row>
    <row r="152" spans="2:14" ht="14.25" customHeight="1" x14ac:dyDescent="0.25">
      <c r="B152" s="94"/>
      <c r="C152" s="221"/>
      <c r="D152" s="94"/>
      <c r="E152" s="94"/>
      <c r="F152" s="96"/>
      <c r="G152" s="96"/>
      <c r="H152" s="96"/>
      <c r="I152" s="222"/>
      <c r="J152" s="96"/>
      <c r="K152" s="222"/>
      <c r="L152" s="222"/>
      <c r="M152" s="222"/>
    </row>
    <row r="153" spans="2:14" ht="14.25" customHeight="1" x14ac:dyDescent="0.25">
      <c r="B153" s="50">
        <f t="shared" ref="B153" si="75">ROW(B153)</f>
        <v>153</v>
      </c>
      <c r="C153" s="219">
        <v>1</v>
      </c>
      <c r="D153" s="125">
        <v>111000000</v>
      </c>
      <c r="E153" s="98" t="str">
        <f>VLOOKUP("T.08.128",Translation,LanguageNo+1,FALSE)</f>
        <v>1.11 Übrige Forderungen</v>
      </c>
      <c r="F153" s="230"/>
      <c r="G153" s="230"/>
      <c r="H153" s="230"/>
      <c r="I153" s="217">
        <f>IF(ISBLANK(B153),"",F153+SUMPRODUCT(--($G$6:$G$247=B153),$H$6:$H$247,$C$6:$C$247)*C153-H153)</f>
        <v>0</v>
      </c>
      <c r="J153" s="230"/>
      <c r="K153" s="217">
        <f t="shared" ref="K153" si="76">$I153+$J153</f>
        <v>0</v>
      </c>
      <c r="L153" s="217">
        <f t="shared" ref="L153" si="77">$M153-$K153</f>
        <v>0</v>
      </c>
      <c r="M153" s="217">
        <f>'SST Balance Sheet BVG'!E153</f>
        <v>0</v>
      </c>
    </row>
    <row r="154" spans="2:14" ht="14.25" customHeight="1" x14ac:dyDescent="0.25">
      <c r="B154" s="94"/>
      <c r="C154" s="221"/>
      <c r="D154" s="94"/>
      <c r="E154" s="94"/>
      <c r="F154" s="96"/>
      <c r="G154" s="96"/>
      <c r="H154" s="96"/>
      <c r="I154" s="222"/>
      <c r="J154" s="96"/>
      <c r="K154" s="222"/>
      <c r="L154" s="222"/>
      <c r="M154" s="222"/>
    </row>
    <row r="155" spans="2:14" ht="14.25" customHeight="1" x14ac:dyDescent="0.25">
      <c r="B155" s="50">
        <f t="shared" ref="B155" si="78">ROW(B155)</f>
        <v>155</v>
      </c>
      <c r="D155" s="320">
        <v>112000000</v>
      </c>
      <c r="E155" s="98" t="str">
        <f>VLOOKUP("T.08.129",Translation,LanguageNo+1,FALSE)</f>
        <v>1.12 Sonstige Aktiven</v>
      </c>
      <c r="F155" s="99">
        <f>SUM(F156:F157)</f>
        <v>0</v>
      </c>
      <c r="G155" s="99"/>
      <c r="H155" s="99"/>
      <c r="I155" s="100">
        <f>SUM(I156:I157)</f>
        <v>0</v>
      </c>
      <c r="J155" s="99">
        <f>SUM(J156:J157)</f>
        <v>0</v>
      </c>
      <c r="K155" s="100">
        <f>SUM(K156:K157)</f>
        <v>0</v>
      </c>
      <c r="L155" s="217">
        <f t="shared" ref="L155:L157" si="79">$M155-$K155</f>
        <v>0</v>
      </c>
      <c r="M155" s="217">
        <f>'SST Balance Sheet BVG'!E155</f>
        <v>0</v>
      </c>
    </row>
    <row r="156" spans="2:14" ht="14.25" customHeight="1" x14ac:dyDescent="0.25">
      <c r="B156" s="50">
        <f t="shared" ref="B156:B162" si="80">ROW(B156)</f>
        <v>156</v>
      </c>
      <c r="C156" s="219">
        <v>1</v>
      </c>
      <c r="D156" s="139"/>
      <c r="E156" s="50" t="str">
        <f>VLOOKUP("T.08.130",Translation,LanguageNo+1,FALSE)</f>
        <v>Erhaltene Garantien</v>
      </c>
      <c r="F156" s="85"/>
      <c r="G156" s="48"/>
      <c r="H156" s="104"/>
      <c r="I156" s="217">
        <f>IF(ISBLANK(B156),"",F156+SUMPRODUCT(--($G$6:$G$247=B156),$H$6:$H$247,$C$6:$C$247)*C156-H156)</f>
        <v>0</v>
      </c>
      <c r="J156" s="86"/>
      <c r="K156" s="217">
        <f t="shared" ref="K156:K157" si="81">$I156+$J156</f>
        <v>0</v>
      </c>
      <c r="L156" s="217">
        <f t="shared" si="79"/>
        <v>0</v>
      </c>
      <c r="M156" s="217">
        <f>'SST Balance Sheet BVG'!E156</f>
        <v>0</v>
      </c>
    </row>
    <row r="157" spans="2:14" ht="14.25" customHeight="1" x14ac:dyDescent="0.25">
      <c r="B157" s="50">
        <f t="shared" si="80"/>
        <v>157</v>
      </c>
      <c r="C157" s="219">
        <v>1</v>
      </c>
      <c r="D157" s="320" t="s">
        <v>181</v>
      </c>
      <c r="E157" s="148" t="str">
        <f>VLOOKUP("T.08.131",Translation,LanguageNo+1,FALSE)</f>
        <v>Sonstige Vermögenswerte</v>
      </c>
      <c r="F157" s="92"/>
      <c r="G157" s="143"/>
      <c r="H157" s="121"/>
      <c r="I157" s="217">
        <f>IF(ISBLANK(B157),"",F157+SUMPRODUCT(--($G$6:$G$247=B157),$H$6:$H$247,$C$6:$C$247)*C157-H157)</f>
        <v>0</v>
      </c>
      <c r="J157" s="220"/>
      <c r="K157" s="217">
        <f t="shared" si="81"/>
        <v>0</v>
      </c>
      <c r="L157" s="217">
        <f t="shared" si="79"/>
        <v>0</v>
      </c>
      <c r="M157" s="217">
        <f>'SST Balance Sheet BVG'!E157</f>
        <v>0</v>
      </c>
    </row>
    <row r="158" spans="2:14" s="84" customFormat="1" ht="14.25" customHeight="1" x14ac:dyDescent="0.25">
      <c r="B158" s="94"/>
      <c r="C158" s="221"/>
      <c r="D158" s="94"/>
      <c r="E158" s="94"/>
      <c r="F158" s="96"/>
      <c r="G158" s="96"/>
      <c r="H158" s="96"/>
      <c r="I158" s="222"/>
      <c r="J158" s="96"/>
      <c r="K158" s="222"/>
      <c r="L158" s="222"/>
      <c r="M158" s="222"/>
    </row>
    <row r="159" spans="2:14" ht="14.25" customHeight="1" x14ac:dyDescent="0.25">
      <c r="B159" s="50">
        <f t="shared" si="80"/>
        <v>159</v>
      </c>
      <c r="C159" s="219">
        <v>1</v>
      </c>
      <c r="D159" s="320">
        <v>113000000</v>
      </c>
      <c r="E159" s="98" t="str">
        <f>VLOOKUP("T.08.132",Translation,LanguageNo+1,FALSE)</f>
        <v>1.13 Nicht einbezahltes Grundkapital</v>
      </c>
      <c r="F159" s="231"/>
      <c r="G159" s="231"/>
      <c r="H159" s="231"/>
      <c r="I159" s="217">
        <f>IF(ISBLANK(B159),"",F159+SUMPRODUCT(--($G$6:$G$247=B159),$H$6:$H$247,$C$6:$C$247)*C159-H159)</f>
        <v>0</v>
      </c>
      <c r="J159" s="231"/>
      <c r="K159" s="217">
        <f t="shared" ref="K159" si="82">$I159+$J159</f>
        <v>0</v>
      </c>
      <c r="L159" s="217">
        <f t="shared" ref="L159" si="83">$M159-$K159</f>
        <v>0</v>
      </c>
      <c r="M159" s="217">
        <f>'SST Balance Sheet BVG'!E159</f>
        <v>0</v>
      </c>
    </row>
    <row r="160" spans="2:14" s="84" customFormat="1" ht="14.25" customHeight="1" x14ac:dyDescent="0.25">
      <c r="B160" s="94"/>
      <c r="C160" s="221"/>
      <c r="D160" s="94"/>
      <c r="E160" s="94"/>
      <c r="F160" s="96"/>
      <c r="G160" s="96"/>
      <c r="H160" s="96"/>
      <c r="I160" s="222"/>
      <c r="J160" s="96"/>
      <c r="K160" s="222"/>
      <c r="L160" s="222"/>
      <c r="M160" s="222"/>
    </row>
    <row r="161" spans="2:14" ht="14.25" customHeight="1" x14ac:dyDescent="0.25">
      <c r="B161" s="50">
        <f t="shared" si="80"/>
        <v>161</v>
      </c>
      <c r="D161" s="320">
        <v>114000000</v>
      </c>
      <c r="E161" s="98" t="str">
        <f>VLOOKUP("T.08.133",Translation,LanguageNo+1,FALSE)</f>
        <v>1.14 Aktive Rechnungsabgrenzungen</v>
      </c>
      <c r="F161" s="99">
        <f>SUM(F162:F165)</f>
        <v>0</v>
      </c>
      <c r="G161" s="99"/>
      <c r="H161" s="99"/>
      <c r="I161" s="100">
        <f>SUM(I162:I165)</f>
        <v>0</v>
      </c>
      <c r="J161" s="99">
        <f>SUM(J162:J165)</f>
        <v>0</v>
      </c>
      <c r="K161" s="100">
        <f>SUM(K162:K165)</f>
        <v>0</v>
      </c>
      <c r="L161" s="217">
        <f t="shared" ref="L161:L165" si="84">$M161-$K161</f>
        <v>0</v>
      </c>
      <c r="M161" s="217">
        <f>'SST Balance Sheet BVG'!E161</f>
        <v>0</v>
      </c>
    </row>
    <row r="162" spans="2:14" ht="14.25" customHeight="1" x14ac:dyDescent="0.25">
      <c r="B162" s="50">
        <f t="shared" si="80"/>
        <v>162</v>
      </c>
      <c r="C162" s="219">
        <v>1</v>
      </c>
      <c r="D162" s="320">
        <v>114000100</v>
      </c>
      <c r="E162" s="50" t="str">
        <f>VLOOKUP("T.08.134",Translation,LanguageNo+1,FALSE)</f>
        <v>Vorausbezahlte Versicherungsleistungen</v>
      </c>
      <c r="F162" s="85"/>
      <c r="G162" s="48"/>
      <c r="H162" s="104"/>
      <c r="I162" s="217">
        <f>IF(ISBLANK(B162),"",F162+SUMPRODUCT(--($G$6:$G$247=B162),$H$6:$H$247,$C$6:$C$247)*C162-H162)</f>
        <v>0</v>
      </c>
      <c r="J162" s="104"/>
      <c r="K162" s="217">
        <f t="shared" ref="K162:K165" si="85">$I162+$J162</f>
        <v>0</v>
      </c>
      <c r="L162" s="217">
        <f t="shared" si="84"/>
        <v>0</v>
      </c>
      <c r="M162" s="217">
        <f>'SST Balance Sheet BVG'!E162</f>
        <v>0</v>
      </c>
    </row>
    <row r="163" spans="2:14" s="84" customFormat="1" ht="14.25" customHeight="1" x14ac:dyDescent="0.25">
      <c r="B163" s="50">
        <f t="shared" ref="B163" si="86">ROW(B163)</f>
        <v>163</v>
      </c>
      <c r="C163" s="219">
        <v>1</v>
      </c>
      <c r="D163" s="50">
        <v>114000200</v>
      </c>
      <c r="E163" s="217" t="str">
        <f>VLOOKUP("T.08.135",Translation,LanguageNo+1,FALSE)</f>
        <v>Abgegrenzte Zinsen und Mieten</v>
      </c>
      <c r="F163" s="85"/>
      <c r="G163" s="48"/>
      <c r="H163" s="104"/>
      <c r="I163" s="217">
        <f>IF(ISBLANK(B163),"",F163+SUMPRODUCT(--($G$6:$G$247=B163),$H$6:$H$247,$C$6:$C$247)*C163-H163)</f>
        <v>0</v>
      </c>
      <c r="J163" s="104"/>
      <c r="K163" s="217">
        <f t="shared" si="85"/>
        <v>0</v>
      </c>
      <c r="L163" s="217">
        <f t="shared" si="84"/>
        <v>0</v>
      </c>
      <c r="M163" s="217">
        <f>'SST Balance Sheet BVG'!E163</f>
        <v>0</v>
      </c>
      <c r="N163" s="58"/>
    </row>
    <row r="164" spans="2:14" s="84" customFormat="1" ht="14.25" customHeight="1" x14ac:dyDescent="0.25">
      <c r="B164" s="50">
        <f t="shared" ref="B164" si="87">ROW(B164)</f>
        <v>164</v>
      </c>
      <c r="C164" s="219">
        <v>1</v>
      </c>
      <c r="D164" s="320">
        <v>114000300</v>
      </c>
      <c r="E164" s="217" t="str">
        <f>VLOOKUP("T.08.136",Translation,LanguageNo+1,FALSE)</f>
        <v>Latente Steuerforderungen</v>
      </c>
      <c r="F164" s="85"/>
      <c r="G164" s="48"/>
      <c r="H164" s="104"/>
      <c r="I164" s="217">
        <f>IF(ISBLANK(B164),"",F164+SUMPRODUCT(--($G$6:$G$247=B164),$H$6:$H$247,$C$6:$C$247)*C164-H164)</f>
        <v>0</v>
      </c>
      <c r="J164" s="104"/>
      <c r="K164" s="217">
        <f t="shared" si="85"/>
        <v>0</v>
      </c>
      <c r="L164" s="217">
        <f t="shared" si="84"/>
        <v>0</v>
      </c>
      <c r="M164" s="356">
        <f>'SST Balance Sheet BVG'!E164</f>
        <v>0</v>
      </c>
      <c r="N164" s="58"/>
    </row>
    <row r="165" spans="2:14" s="84" customFormat="1" ht="14.25" customHeight="1" x14ac:dyDescent="0.25">
      <c r="B165" s="50">
        <f t="shared" ref="B165" si="88">ROW(B165)</f>
        <v>165</v>
      </c>
      <c r="C165" s="219">
        <v>1</v>
      </c>
      <c r="D165" s="50">
        <v>114000400</v>
      </c>
      <c r="E165" s="145" t="str">
        <f>VLOOKUP("T.08.137",Translation,LanguageNo+1,FALSE)</f>
        <v>Sonstige Rechnungsabgrenzungsposten</v>
      </c>
      <c r="F165" s="92"/>
      <c r="G165" s="143"/>
      <c r="H165" s="121"/>
      <c r="I165" s="217">
        <f>IF(ISBLANK(B165),"",F165+SUMPRODUCT(--($G$6:$G$247=B165),$H$6:$H$247,$C$6:$C$247)*C165-H165)</f>
        <v>0</v>
      </c>
      <c r="J165" s="220"/>
      <c r="K165" s="217">
        <f t="shared" si="85"/>
        <v>0</v>
      </c>
      <c r="L165" s="217">
        <f t="shared" si="84"/>
        <v>0</v>
      </c>
      <c r="M165" s="217">
        <f>'SST Balance Sheet BVG'!E165</f>
        <v>0</v>
      </c>
      <c r="N165" s="58"/>
    </row>
    <row r="166" spans="2:14" ht="14.25" customHeight="1" x14ac:dyDescent="0.25">
      <c r="B166" s="94"/>
      <c r="C166" s="221"/>
      <c r="D166" s="94"/>
      <c r="E166" s="149"/>
      <c r="F166" s="96"/>
      <c r="G166" s="96"/>
      <c r="H166" s="96"/>
      <c r="I166" s="222"/>
      <c r="J166" s="358"/>
      <c r="K166" s="222"/>
      <c r="L166" s="222"/>
      <c r="M166" s="222"/>
    </row>
    <row r="167" spans="2:14" ht="14.25" customHeight="1" x14ac:dyDescent="0.25">
      <c r="B167" s="50">
        <f>ROW(B167)</f>
        <v>167</v>
      </c>
      <c r="C167" s="225"/>
      <c r="D167" s="320"/>
      <c r="E167" s="122" t="str">
        <f>VLOOKUP("T.08.138",Translation,LanguageNo+1,FALSE)</f>
        <v>Total übrige Aktiven</v>
      </c>
      <c r="F167" s="100">
        <f>F93+F106+F114+F116+F121+F136+F140+F142+F144+F153+F155+F159+F161</f>
        <v>0</v>
      </c>
      <c r="G167" s="100"/>
      <c r="H167" s="100"/>
      <c r="I167" s="100">
        <f>I93+I106+I114+I116+I121+I136+I140+I142+I144+I153+I155+I159+I161</f>
        <v>0</v>
      </c>
      <c r="J167" s="100">
        <f>J93+J106+J114+J116+J121+J136+J140+J142+J144+J153+J155+J159+J161</f>
        <v>0</v>
      </c>
      <c r="K167" s="100">
        <f>K93+K106+K114+K116+K121+K136+K140+K142+K144+K153+K155+K159+K161</f>
        <v>0</v>
      </c>
      <c r="L167" s="217">
        <f t="shared" ref="L167" si="89">$M167-$K167</f>
        <v>0</v>
      </c>
      <c r="M167" s="217">
        <f>'SST Balance Sheet BVG'!E167</f>
        <v>0</v>
      </c>
    </row>
    <row r="168" spans="2:14" ht="14.25" customHeight="1" x14ac:dyDescent="0.2">
      <c r="B168" s="94"/>
      <c r="C168" s="221"/>
      <c r="D168" s="94"/>
      <c r="E168" s="95"/>
      <c r="F168" s="96"/>
      <c r="G168" s="96"/>
      <c r="H168" s="96"/>
      <c r="I168" s="232"/>
      <c r="J168" s="96"/>
      <c r="K168" s="222"/>
      <c r="L168" s="222"/>
      <c r="M168" s="222"/>
    </row>
    <row r="169" spans="2:14" ht="14.25" customHeight="1" x14ac:dyDescent="0.25">
      <c r="B169" s="50">
        <f>ROW(B169)</f>
        <v>169</v>
      </c>
      <c r="C169" s="216"/>
      <c r="D169" s="320">
        <v>100000000</v>
      </c>
      <c r="E169" s="122" t="str">
        <f>VLOOKUP("T.08.139",Translation,LanguageNo+1,FALSE)</f>
        <v>1.15 Total Aktiven</v>
      </c>
      <c r="F169" s="99">
        <f>F89+F167</f>
        <v>0</v>
      </c>
      <c r="G169" s="99"/>
      <c r="H169" s="99"/>
      <c r="I169" s="99">
        <f>I89+I167</f>
        <v>0</v>
      </c>
      <c r="J169" s="99">
        <f>J89+J167</f>
        <v>0</v>
      </c>
      <c r="K169" s="99">
        <f>K89+K167</f>
        <v>0</v>
      </c>
      <c r="L169" s="217">
        <f>$M169-$K169</f>
        <v>0</v>
      </c>
      <c r="M169" s="217">
        <f>'SST Balance Sheet BVG'!E169</f>
        <v>0</v>
      </c>
    </row>
    <row r="170" spans="2:14" ht="14.25" customHeight="1" x14ac:dyDescent="0.25">
      <c r="B170" s="101"/>
      <c r="C170" s="224"/>
      <c r="D170" s="101"/>
      <c r="E170" s="95"/>
      <c r="F170" s="96"/>
      <c r="G170" s="96"/>
      <c r="H170" s="96"/>
      <c r="I170" s="222"/>
      <c r="J170" s="96"/>
      <c r="K170" s="222"/>
      <c r="L170" s="222"/>
      <c r="M170" s="222"/>
    </row>
    <row r="171" spans="2:14" ht="14.25" customHeight="1" x14ac:dyDescent="0.25">
      <c r="B171" s="50">
        <f>ROW(B171)</f>
        <v>171</v>
      </c>
      <c r="D171" s="139"/>
      <c r="E171" s="142" t="str">
        <f>VLOOKUP("T.08.140",Translation,LanguageNo+1,FALSE)</f>
        <v>Fremdkapital</v>
      </c>
      <c r="F171" s="359"/>
      <c r="G171" s="360"/>
      <c r="H171" s="361"/>
      <c r="I171" s="217"/>
      <c r="J171" s="357"/>
      <c r="K171" s="217"/>
      <c r="L171" s="217"/>
      <c r="M171" s="217"/>
    </row>
    <row r="172" spans="2:14" ht="14.25" customHeight="1" x14ac:dyDescent="0.25">
      <c r="B172" s="94"/>
      <c r="C172" s="221"/>
      <c r="D172" s="94"/>
      <c r="E172" s="154"/>
      <c r="F172" s="96"/>
      <c r="G172" s="96"/>
      <c r="H172" s="96"/>
      <c r="I172" s="222"/>
      <c r="J172" s="96"/>
      <c r="K172" s="222"/>
      <c r="L172" s="222"/>
      <c r="M172" s="222"/>
    </row>
    <row r="173" spans="2:14" ht="14.25" customHeight="1" x14ac:dyDescent="0.25">
      <c r="B173" s="50">
        <f t="shared" ref="B173:B179" si="90">ROW(B173)</f>
        <v>173</v>
      </c>
      <c r="C173" s="216"/>
      <c r="D173" s="320">
        <v>201000000</v>
      </c>
      <c r="E173" s="122" t="str">
        <f>VLOOKUP("T.08.141",Translation,LanguageNo+1,FALSE)</f>
        <v>2.1 Versicherungstechnische Rückstellungen: Brutto</v>
      </c>
      <c r="F173" s="100">
        <f>F174+F183+F185+F192+F194+F203+F205+F206</f>
        <v>0</v>
      </c>
      <c r="G173" s="100"/>
      <c r="H173" s="100"/>
      <c r="I173" s="100">
        <f>I174+I183+I185+I192+I194+I203+I205+I206</f>
        <v>0</v>
      </c>
      <c r="J173" s="100">
        <f>J174+J183+J185+J192+J194+J203+J205+J206</f>
        <v>0</v>
      </c>
      <c r="K173" s="100">
        <f>K174+K183+K185+K192+K194+K203+K205+K206</f>
        <v>0</v>
      </c>
      <c r="L173" s="217">
        <f t="shared" ref="L173:L175" si="91">$M173-$K173</f>
        <v>0</v>
      </c>
      <c r="M173" s="217">
        <f>'SST Balance Sheet BVG'!E173</f>
        <v>0</v>
      </c>
    </row>
    <row r="174" spans="2:14" ht="14.25" customHeight="1" x14ac:dyDescent="0.25">
      <c r="B174" s="50">
        <f t="shared" si="90"/>
        <v>174</v>
      </c>
      <c r="C174" s="216"/>
      <c r="D174" s="139">
        <v>201100000</v>
      </c>
      <c r="E174" s="98" t="str">
        <f>VLOOKUP("T.08.142",Translation,LanguageNo+1,FALSE)</f>
        <v>Direktversicherung: Lebensversicherungsgeschäft (ohne ALV)</v>
      </c>
      <c r="F174" s="99">
        <f>F175+SUM(F178:F179)+SUM(F181:F182)</f>
        <v>0</v>
      </c>
      <c r="G174" s="99"/>
      <c r="H174" s="99"/>
      <c r="I174" s="100">
        <f>I175+SUM(I178:I179)+SUM(I181:I182)</f>
        <v>0</v>
      </c>
      <c r="J174" s="99">
        <f>J175+SUM(J178:J179)+SUM(J181:J182)</f>
        <v>0</v>
      </c>
      <c r="K174" s="100">
        <f>K175+SUM(K178:K179)+SUM(K181:K182)</f>
        <v>0</v>
      </c>
      <c r="L174" s="217">
        <f t="shared" si="91"/>
        <v>0</v>
      </c>
      <c r="M174" s="217">
        <f>'SST Balance Sheet BVG'!E174</f>
        <v>0</v>
      </c>
    </row>
    <row r="175" spans="2:14" s="415" customFormat="1" ht="14.25" customHeight="1" x14ac:dyDescent="0.25">
      <c r="B175" s="460">
        <f t="shared" si="90"/>
        <v>175</v>
      </c>
      <c r="C175" s="461">
        <v>-1</v>
      </c>
      <c r="D175" s="462" t="s">
        <v>1434</v>
      </c>
      <c r="E175" s="460" t="str">
        <f>VLOOKUP("T.08.143",Translation,LanguageNo+1,FALSE)</f>
        <v>Best Estimate der Versicherungsverpflichtungen (Leben): Brutto</v>
      </c>
      <c r="F175" s="468"/>
      <c r="G175" s="464"/>
      <c r="H175" s="465"/>
      <c r="I175" s="466">
        <f>IF(ISBLANK(B175),"",F175+SUMPRODUCT(--($G$6:$G$247=B175),$H$6:$H$247,$C$6:$C$247)*C175-H175)</f>
        <v>0</v>
      </c>
      <c r="J175" s="467"/>
      <c r="K175" s="466">
        <f t="shared" ref="K175" si="92">$I175+$J175</f>
        <v>0</v>
      </c>
      <c r="L175" s="466">
        <f t="shared" si="91"/>
        <v>0</v>
      </c>
      <c r="M175" s="466">
        <f>'SST Balance Sheet BVG'!E175</f>
        <v>0</v>
      </c>
    </row>
    <row r="176" spans="2:14" s="415" customFormat="1" ht="14.25" customHeight="1" x14ac:dyDescent="0.25">
      <c r="B176" s="460">
        <f t="shared" si="90"/>
        <v>176</v>
      </c>
      <c r="C176" s="461"/>
      <c r="D176" s="460"/>
      <c r="E176" s="469" t="str">
        <f>VLOOKUP("T.08.144",Translation,LanguageNo+1,FALSE)</f>
        <v>davon Einzelgeschäft</v>
      </c>
      <c r="F176" s="467"/>
      <c r="G176" s="470"/>
      <c r="H176" s="470"/>
      <c r="I176" s="466"/>
      <c r="J176" s="470"/>
      <c r="K176" s="466"/>
      <c r="L176" s="466"/>
      <c r="M176" s="466"/>
    </row>
    <row r="177" spans="2:13" s="415" customFormat="1" ht="14.25" customHeight="1" x14ac:dyDescent="0.25">
      <c r="B177" s="460">
        <f t="shared" si="90"/>
        <v>177</v>
      </c>
      <c r="C177" s="471"/>
      <c r="D177" s="462"/>
      <c r="E177" s="469" t="str">
        <f>VLOOKUP("T.08.145",Translation,LanguageNo+1,FALSE)</f>
        <v>davon Kollektivgeschäft</v>
      </c>
      <c r="F177" s="467"/>
      <c r="G177" s="472"/>
      <c r="H177" s="472"/>
      <c r="I177" s="466"/>
      <c r="J177" s="472"/>
      <c r="K177" s="466"/>
      <c r="L177" s="466"/>
      <c r="M177" s="466"/>
    </row>
    <row r="178" spans="2:13" s="415" customFormat="1" ht="14.25" customHeight="1" x14ac:dyDescent="0.25">
      <c r="B178" s="460">
        <f t="shared" si="90"/>
        <v>178</v>
      </c>
      <c r="C178" s="461">
        <v>-1</v>
      </c>
      <c r="D178" s="462">
        <v>201140100</v>
      </c>
      <c r="E178" s="460" t="str">
        <f>VLOOKUP("T.08.146",Translation,LanguageNo+1,FALSE)</f>
        <v>Schwankungsrückstellungen und weitere statutarische Reserven (Leben): Brutto</v>
      </c>
      <c r="F178" s="463"/>
      <c r="G178" s="463"/>
      <c r="H178" s="465"/>
      <c r="I178" s="466">
        <f>IF(ISBLANK(B178),"",F178+SUMPRODUCT(--($G$6:$G$247=B178),$H$6:$H$247,$C$6:$C$247)*C178-H178)</f>
        <v>0</v>
      </c>
      <c r="J178" s="467"/>
      <c r="K178" s="466">
        <f t="shared" ref="K178:K183" si="93">$I178+$J178</f>
        <v>0</v>
      </c>
      <c r="L178" s="466">
        <f t="shared" ref="L178:L179" si="94">$M178-$K178</f>
        <v>0</v>
      </c>
      <c r="M178" s="473">
        <f>'SST Balance Sheet BVG'!E178</f>
        <v>0</v>
      </c>
    </row>
    <row r="179" spans="2:13" s="415" customFormat="1" ht="14.25" customHeight="1" x14ac:dyDescent="0.25">
      <c r="B179" s="460">
        <f t="shared" si="90"/>
        <v>179</v>
      </c>
      <c r="C179" s="461">
        <v>-1</v>
      </c>
      <c r="D179" s="462"/>
      <c r="E179" s="474" t="str">
        <f>VLOOKUP("T.08.147",Translation,LanguageNo+1,FALSE)</f>
        <v>Best Estimate der sonstigen Versicherungsverpflichtungen (Leben): Brutto</v>
      </c>
      <c r="F179" s="463"/>
      <c r="G179" s="463"/>
      <c r="H179" s="465"/>
      <c r="I179" s="466">
        <f>IF(ISBLANK(B179),"",F179+SUMPRODUCT(--($G$6:$G$247=B179),$H$6:$H$247,$C$6:$C$247)*C179-H179)</f>
        <v>0</v>
      </c>
      <c r="J179" s="467"/>
      <c r="K179" s="466">
        <f t="shared" si="93"/>
        <v>0</v>
      </c>
      <c r="L179" s="466">
        <f t="shared" si="94"/>
        <v>0</v>
      </c>
      <c r="M179" s="466">
        <f>'SST Balance Sheet BVG'!E179</f>
        <v>0</v>
      </c>
    </row>
    <row r="180" spans="2:13" s="415" customFormat="1" ht="14.25" customHeight="1" x14ac:dyDescent="0.25">
      <c r="B180" s="460">
        <f>ROW(B180)</f>
        <v>180</v>
      </c>
      <c r="C180" s="471"/>
      <c r="D180" s="462">
        <v>201150100</v>
      </c>
      <c r="E180" s="469" t="str">
        <f>VLOOKUP("T.08.148",Translation,LanguageNo+1,FALSE)</f>
        <v>davon Zillmerabschlag (Leben): Brutto</v>
      </c>
      <c r="F180" s="467"/>
      <c r="G180" s="475"/>
      <c r="H180" s="475"/>
      <c r="I180" s="466"/>
      <c r="J180" s="475"/>
      <c r="K180" s="466"/>
      <c r="L180" s="466"/>
      <c r="M180" s="473">
        <f>'SST Balance Sheet BVG'!E180</f>
        <v>0</v>
      </c>
    </row>
    <row r="181" spans="2:13" s="415" customFormat="1" ht="14.25" customHeight="1" x14ac:dyDescent="0.25">
      <c r="B181" s="460">
        <f>ROW(B181)</f>
        <v>181</v>
      </c>
      <c r="C181" s="461">
        <v>-1</v>
      </c>
      <c r="D181" s="462">
        <v>201160100</v>
      </c>
      <c r="E181" s="460" t="str">
        <f>VLOOKUP("T.08.149",Translation,LanguageNo+1,FALSE)</f>
        <v>Rückstellungen für vertragliche Überschussbeteiligungen (Leben): Brutto</v>
      </c>
      <c r="F181" s="463"/>
      <c r="G181" s="463"/>
      <c r="H181" s="465"/>
      <c r="I181" s="466">
        <f>IF(ISBLANK(B181),"",F181+SUMPRODUCT(--($G$6:$G$247=B181),$H$6:$H$247,$C$6:$C$247)*C181-H181)</f>
        <v>0</v>
      </c>
      <c r="J181" s="467"/>
      <c r="K181" s="466">
        <f t="shared" si="93"/>
        <v>0</v>
      </c>
      <c r="L181" s="466">
        <f t="shared" ref="L181:L183" si="95">$M181-$K181</f>
        <v>0</v>
      </c>
      <c r="M181" s="466">
        <f>'SST Balance Sheet BVG'!E181</f>
        <v>0</v>
      </c>
    </row>
    <row r="182" spans="2:13" s="459" customFormat="1" ht="14.25" customHeight="1" x14ac:dyDescent="0.25">
      <c r="B182" s="456">
        <f>ROW(B182)</f>
        <v>182</v>
      </c>
      <c r="C182" s="457">
        <v>-1</v>
      </c>
      <c r="D182" s="456">
        <v>201170100</v>
      </c>
      <c r="E182" s="456" t="str">
        <f>VLOOKUP("T.08.150",Translation,LanguageNo+1,FALSE)</f>
        <v>Rückstellungen für Überschussfonds (Leben): Brutto</v>
      </c>
      <c r="F182" s="476"/>
      <c r="G182" s="476"/>
      <c r="H182" s="477"/>
      <c r="I182" s="458">
        <f>IF(ISBLANK(B182),"",F182+SUMPRODUCT(--($G$6:$G$247=B182),$H$6:$H$247,$C$6:$C$247)*C182-H182)</f>
        <v>0</v>
      </c>
      <c r="J182" s="478"/>
      <c r="K182" s="458">
        <f t="shared" si="93"/>
        <v>0</v>
      </c>
      <c r="L182" s="479">
        <f t="shared" si="95"/>
        <v>0</v>
      </c>
      <c r="M182" s="458">
        <f>'SST Balance Sheet BVG'!E182</f>
        <v>0</v>
      </c>
    </row>
    <row r="183" spans="2:13" s="415" customFormat="1" ht="14.25" customHeight="1" x14ac:dyDescent="0.25">
      <c r="B183" s="460">
        <f>ROW(B183)</f>
        <v>183</v>
      </c>
      <c r="C183" s="461">
        <v>-1</v>
      </c>
      <c r="D183" s="462">
        <v>201102000</v>
      </c>
      <c r="E183" s="480" t="str">
        <f>VLOOKUP("T.08.151",Translation,LanguageNo+1,FALSE)</f>
        <v>Aktive Rückversicherung: Lebensversicherungsgeschäft (ohne ALV)</v>
      </c>
      <c r="F183" s="481"/>
      <c r="G183" s="481"/>
      <c r="H183" s="482"/>
      <c r="I183" s="466">
        <f>IF(ISBLANK(B183),"",F183+SUMPRODUCT(--($G$6:$G$247=B183),$H$6:$H$247,$C$6:$C$247)*C183-H183)</f>
        <v>0</v>
      </c>
      <c r="J183" s="483"/>
      <c r="K183" s="466">
        <f t="shared" si="93"/>
        <v>0</v>
      </c>
      <c r="L183" s="466">
        <f t="shared" si="95"/>
        <v>0</v>
      </c>
      <c r="M183" s="466">
        <f>'SST Balance Sheet BVG'!E183</f>
        <v>0</v>
      </c>
    </row>
    <row r="184" spans="2:13" ht="14.25" customHeight="1" x14ac:dyDescent="0.25">
      <c r="B184" s="94"/>
      <c r="C184" s="221"/>
      <c r="D184" s="94"/>
      <c r="E184" s="95"/>
      <c r="F184" s="96"/>
      <c r="G184" s="96"/>
      <c r="H184" s="96"/>
      <c r="I184" s="222"/>
      <c r="J184" s="96"/>
      <c r="K184" s="222"/>
      <c r="L184" s="222"/>
      <c r="M184" s="222"/>
    </row>
    <row r="185" spans="2:13" s="424" customFormat="1" ht="14.25" customHeight="1" x14ac:dyDescent="0.25">
      <c r="B185" s="417">
        <f t="shared" ref="B185:B187" si="96">ROW(B185)</f>
        <v>185</v>
      </c>
      <c r="C185" s="425"/>
      <c r="D185" s="442">
        <v>201201000</v>
      </c>
      <c r="E185" s="426" t="str">
        <f>VLOOKUP("T.08.152",Translation,LanguageNo+1,FALSE)</f>
        <v>Direktversicherung: Schadenversicherungsgeschäft</v>
      </c>
      <c r="F185" s="421">
        <f>F186+SUM(F188:F191)</f>
        <v>0</v>
      </c>
      <c r="G185" s="421"/>
      <c r="H185" s="421"/>
      <c r="I185" s="422">
        <f>I186+SUM(I188:I191)</f>
        <v>0</v>
      </c>
      <c r="J185" s="421">
        <f>J186+SUM(J188:J191)</f>
        <v>0</v>
      </c>
      <c r="K185" s="422">
        <f>K186+SUM(K188:K191)</f>
        <v>0</v>
      </c>
      <c r="L185" s="423">
        <f t="shared" ref="L185:L192" si="97">$M185-$K185</f>
        <v>0</v>
      </c>
      <c r="M185" s="423">
        <f>'SST Balance Sheet BVG'!E185</f>
        <v>0</v>
      </c>
    </row>
    <row r="186" spans="2:13" s="424" customFormat="1" ht="14.25" customHeight="1" x14ac:dyDescent="0.25">
      <c r="B186" s="417">
        <f t="shared" si="96"/>
        <v>186</v>
      </c>
      <c r="C186" s="425">
        <v>-1</v>
      </c>
      <c r="D186" s="440"/>
      <c r="E186" s="417" t="str">
        <f>VLOOKUP("T.08.153",Translation,LanguageNo+1,FALSE)</f>
        <v>Best Estimate der Versicherungsverpflichtungen (Schaden): Brutto</v>
      </c>
      <c r="F186" s="433"/>
      <c r="G186" s="434"/>
      <c r="H186" s="435"/>
      <c r="I186" s="423">
        <f>IF(ISBLANK(B186),"",F186+SUMPRODUCT(--($G$6:$G$247=B186),$H$6:$H$247,$C$6:$C$247)*C186-H186)</f>
        <v>0</v>
      </c>
      <c r="J186" s="441"/>
      <c r="K186" s="423">
        <f t="shared" ref="K186" si="98">$I186+$J186</f>
        <v>0</v>
      </c>
      <c r="L186" s="423">
        <f t="shared" si="97"/>
        <v>0</v>
      </c>
      <c r="M186" s="423">
        <f>'SST Balance Sheet BVG'!E186</f>
        <v>0</v>
      </c>
    </row>
    <row r="187" spans="2:13" s="424" customFormat="1" ht="14.25" customHeight="1" x14ac:dyDescent="0.25">
      <c r="B187" s="417">
        <f t="shared" si="96"/>
        <v>187</v>
      </c>
      <c r="C187" s="443"/>
      <c r="D187" s="440"/>
      <c r="E187" s="431" t="str">
        <f>VLOOKUP("T.08.154",Translation,LanguageNo+1,FALSE)</f>
        <v>davon Best Estimate der Verpflichtungen des UVG-Bestandes: Brutto</v>
      </c>
      <c r="F187" s="433"/>
      <c r="G187" s="441"/>
      <c r="H187" s="441"/>
      <c r="I187" s="423"/>
      <c r="J187" s="441"/>
      <c r="K187" s="423"/>
      <c r="L187" s="423"/>
      <c r="M187" s="423"/>
    </row>
    <row r="188" spans="2:13" s="424" customFormat="1" ht="14.25" customHeight="1" x14ac:dyDescent="0.25">
      <c r="B188" s="417">
        <f t="shared" ref="B188:B197" si="99">ROW(B188)</f>
        <v>188</v>
      </c>
      <c r="C188" s="425">
        <v>-1</v>
      </c>
      <c r="D188" s="440"/>
      <c r="E188" s="423" t="str">
        <f>VLOOKUP("T.08.155",Translation,LanguageNo+1,FALSE)</f>
        <v>Schwankungsrückstellungen und weitere statutarische Reserven (Schaden): Brutto</v>
      </c>
      <c r="F188" s="433"/>
      <c r="G188" s="433"/>
      <c r="H188" s="435"/>
      <c r="I188" s="423">
        <f>IF(ISBLANK(B188),"",F188+SUMPRODUCT(--($G$6:$G$247=B188),$H$6:$H$247,$C$6:$C$247)*C188-H188)</f>
        <v>0</v>
      </c>
      <c r="J188" s="436"/>
      <c r="K188" s="423">
        <f t="shared" ref="K188:K192" si="100">$I188+$J188</f>
        <v>0</v>
      </c>
      <c r="L188" s="423">
        <f t="shared" si="97"/>
        <v>0</v>
      </c>
      <c r="M188" s="438">
        <f>'SST Balance Sheet BVG'!E188</f>
        <v>0</v>
      </c>
    </row>
    <row r="189" spans="2:13" s="424" customFormat="1" ht="14.25" customHeight="1" x14ac:dyDescent="0.25">
      <c r="B189" s="417">
        <f t="shared" si="99"/>
        <v>189</v>
      </c>
      <c r="C189" s="425">
        <v>-1</v>
      </c>
      <c r="D189" s="417"/>
      <c r="E189" s="439" t="str">
        <f>VLOOKUP("T.08.156",Translation,LanguageNo+1,FALSE)</f>
        <v>Best Estimate der sonstigen Versicherungsverpflichtungen (Schaden): Brutto</v>
      </c>
      <c r="F189" s="433"/>
      <c r="G189" s="433"/>
      <c r="H189" s="435"/>
      <c r="I189" s="423">
        <f>IF(ISBLANK(B189),"",F189+SUMPRODUCT(--($G$6:$G$247=B189),$H$6:$H$247,$C$6:$C$247)*C189-H189)</f>
        <v>0</v>
      </c>
      <c r="J189" s="436"/>
      <c r="K189" s="423">
        <f t="shared" si="100"/>
        <v>0</v>
      </c>
      <c r="L189" s="423">
        <f t="shared" si="97"/>
        <v>0</v>
      </c>
      <c r="M189" s="423">
        <f>'SST Balance Sheet BVG'!E189</f>
        <v>0</v>
      </c>
    </row>
    <row r="190" spans="2:13" s="424" customFormat="1" ht="14.25" customHeight="1" x14ac:dyDescent="0.25">
      <c r="B190" s="417">
        <f t="shared" si="99"/>
        <v>190</v>
      </c>
      <c r="C190" s="425">
        <v>-1</v>
      </c>
      <c r="D190" s="417"/>
      <c r="E190" s="439" t="str">
        <f>VLOOKUP("T.08.157",Translation,LanguageNo+1,FALSE)</f>
        <v>Rückstellungen für vertragliche Überschussbeteiligungen (Schaden): Brutto</v>
      </c>
      <c r="F190" s="433"/>
      <c r="G190" s="433"/>
      <c r="H190" s="435"/>
      <c r="I190" s="423">
        <f>IF(ISBLANK(B190),"",F190+SUMPRODUCT(--($G$6:$G$247=B190),$H$6:$H$247,$C$6:$C$247)*C190-H190)</f>
        <v>0</v>
      </c>
      <c r="J190" s="436"/>
      <c r="K190" s="423">
        <f t="shared" si="100"/>
        <v>0</v>
      </c>
      <c r="L190" s="423">
        <f t="shared" si="97"/>
        <v>0</v>
      </c>
      <c r="M190" s="423">
        <f>'SST Balance Sheet BVG'!E190</f>
        <v>0</v>
      </c>
    </row>
    <row r="191" spans="2:13" s="424" customFormat="1" ht="14.25" customHeight="1" x14ac:dyDescent="0.25">
      <c r="B191" s="417">
        <f t="shared" si="99"/>
        <v>191</v>
      </c>
      <c r="C191" s="425">
        <v>-1</v>
      </c>
      <c r="D191" s="417"/>
      <c r="E191" s="439" t="str">
        <f>VLOOKUP("T.08.158",Translation,LanguageNo+1,FALSE)</f>
        <v>Rückstellungen für Überschussfonds (Schaden): Brutto</v>
      </c>
      <c r="F191" s="444"/>
      <c r="G191" s="444"/>
      <c r="H191" s="445"/>
      <c r="I191" s="423">
        <f>IF(ISBLANK(B191),"",F191+SUMPRODUCT(--($G$6:$G$247=B191),$H$6:$H$247,$C$6:$C$247)*C191-H191)</f>
        <v>0</v>
      </c>
      <c r="J191" s="446"/>
      <c r="K191" s="423">
        <f t="shared" si="100"/>
        <v>0</v>
      </c>
      <c r="L191" s="423">
        <f t="shared" si="97"/>
        <v>0</v>
      </c>
      <c r="M191" s="423">
        <f>'SST Balance Sheet BVG'!E191</f>
        <v>0</v>
      </c>
    </row>
    <row r="192" spans="2:13" s="424" customFormat="1" ht="14.25" customHeight="1" x14ac:dyDescent="0.25">
      <c r="B192" s="417">
        <f t="shared" si="99"/>
        <v>192</v>
      </c>
      <c r="C192" s="425">
        <v>-1</v>
      </c>
      <c r="D192" s="440">
        <v>201203000</v>
      </c>
      <c r="E192" s="426" t="str">
        <f>VLOOKUP("T.08.159",Translation,LanguageNo+1,FALSE)</f>
        <v>Aktive Rückversicherung: Schadenversicherungsgeschäft</v>
      </c>
      <c r="F192" s="427"/>
      <c r="G192" s="428"/>
      <c r="H192" s="429"/>
      <c r="I192" s="423">
        <f>IF(ISBLANK(B192),"",F192+SUMPRODUCT(--($G$6:$G$247=B192),$H$6:$H$247,$C$6:$C$247)*C192-H192)</f>
        <v>0</v>
      </c>
      <c r="J192" s="430"/>
      <c r="K192" s="423">
        <f t="shared" si="100"/>
        <v>0</v>
      </c>
      <c r="L192" s="423">
        <f t="shared" si="97"/>
        <v>0</v>
      </c>
      <c r="M192" s="423">
        <f>'SST Balance Sheet BVG'!E192</f>
        <v>0</v>
      </c>
    </row>
    <row r="193" spans="2:13" s="424" customFormat="1" ht="14.25" customHeight="1" x14ac:dyDescent="0.25">
      <c r="B193" s="417"/>
      <c r="C193" s="418"/>
      <c r="D193" s="417"/>
      <c r="E193" s="423"/>
      <c r="F193" s="422"/>
      <c r="G193" s="422"/>
      <c r="H193" s="422"/>
      <c r="I193" s="423"/>
      <c r="J193" s="422"/>
      <c r="K193" s="423"/>
      <c r="L193" s="423"/>
      <c r="M193" s="423"/>
    </row>
    <row r="194" spans="2:13" s="424" customFormat="1" ht="14.25" customHeight="1" x14ac:dyDescent="0.25">
      <c r="B194" s="417">
        <f t="shared" si="99"/>
        <v>194</v>
      </c>
      <c r="C194" s="425"/>
      <c r="D194" s="440">
        <v>201202000</v>
      </c>
      <c r="E194" s="447" t="str">
        <f>VLOOKUP("T.08.160",Translation,LanguageNo+1,FALSE)</f>
        <v>Direktversicherung: Krankenversicherungsgeschäft</v>
      </c>
      <c r="F194" s="421">
        <f>F195+SUM(F198:F202)</f>
        <v>0</v>
      </c>
      <c r="G194" s="421"/>
      <c r="H194" s="421"/>
      <c r="I194" s="422">
        <f>I195+SUM(I198:I202)</f>
        <v>0</v>
      </c>
      <c r="J194" s="421">
        <f>J195+SUM(J198:J202)</f>
        <v>0</v>
      </c>
      <c r="K194" s="422">
        <f>K195+SUM(K198:K202)</f>
        <v>0</v>
      </c>
      <c r="L194" s="423">
        <f t="shared" ref="L194:L202" si="101">$M194-$K194</f>
        <v>0</v>
      </c>
      <c r="M194" s="423">
        <f>'SST Balance Sheet BVG'!E194</f>
        <v>0</v>
      </c>
    </row>
    <row r="195" spans="2:13" s="424" customFormat="1" ht="14.25" customHeight="1" x14ac:dyDescent="0.25">
      <c r="B195" s="417">
        <f t="shared" si="99"/>
        <v>195</v>
      </c>
      <c r="C195" s="425">
        <v>-1</v>
      </c>
      <c r="D195" s="417"/>
      <c r="E195" s="439" t="str">
        <f>VLOOKUP("T.08.161",Translation,LanguageNo+1,FALSE)</f>
        <v>Best Estimate der Versicherungsverpflichtungen (Kranken): Brutto</v>
      </c>
      <c r="F195" s="433"/>
      <c r="G195" s="434"/>
      <c r="H195" s="435"/>
      <c r="I195" s="423">
        <f>IF(ISBLANK(B195),"",F195+SUMPRODUCT(--($G$6:$G$247=B195),$H$6:$H$247,$C$6:$C$247)*C195-H195)</f>
        <v>0</v>
      </c>
      <c r="J195" s="436"/>
      <c r="K195" s="423">
        <f t="shared" ref="K195:K202" si="102">$I195+$J195</f>
        <v>0</v>
      </c>
      <c r="L195" s="423">
        <f t="shared" si="101"/>
        <v>0</v>
      </c>
      <c r="M195" s="423">
        <f>'SST Balance Sheet BVG'!E195</f>
        <v>0</v>
      </c>
    </row>
    <row r="196" spans="2:13" s="424" customFormat="1" ht="14.25" customHeight="1" x14ac:dyDescent="0.25">
      <c r="B196" s="417">
        <f t="shared" si="99"/>
        <v>196</v>
      </c>
      <c r="C196" s="425"/>
      <c r="D196" s="417"/>
      <c r="E196" s="431" t="str">
        <f>VLOOKUP("T.08.162",Translation,LanguageNo+1,FALSE)</f>
        <v>davon Best Estimate der Versicherungsverpflichtungen Einzelkranken: Brutto</v>
      </c>
      <c r="F196" s="433"/>
      <c r="G196" s="428"/>
      <c r="H196" s="429"/>
      <c r="I196" s="423"/>
      <c r="J196" s="430"/>
      <c r="K196" s="423"/>
      <c r="L196" s="423"/>
      <c r="M196" s="423"/>
    </row>
    <row r="197" spans="2:13" s="424" customFormat="1" ht="14.25" customHeight="1" x14ac:dyDescent="0.25">
      <c r="B197" s="417">
        <f t="shared" si="99"/>
        <v>197</v>
      </c>
      <c r="C197" s="425"/>
      <c r="D197" s="417"/>
      <c r="E197" s="448" t="str">
        <f>VLOOKUP("T.08.163",Translation,LanguageNo+1,FALSE)</f>
        <v>davon Best Estimate der Versicherungsverpflichtungen Kollektivtaggeld: Brutto</v>
      </c>
      <c r="F197" s="433"/>
      <c r="G197" s="449"/>
      <c r="H197" s="450"/>
      <c r="I197" s="423"/>
      <c r="J197" s="451"/>
      <c r="K197" s="423"/>
      <c r="L197" s="423"/>
      <c r="M197" s="423"/>
    </row>
    <row r="198" spans="2:13" s="424" customFormat="1" ht="14.25" customHeight="1" x14ac:dyDescent="0.25">
      <c r="B198" s="417">
        <f t="shared" ref="B198" si="103">ROW(B198)</f>
        <v>198</v>
      </c>
      <c r="C198" s="425">
        <v>-1</v>
      </c>
      <c r="D198" s="417"/>
      <c r="E198" s="452" t="str">
        <f>VLOOKUP("T.08.164",Translation,LanguageNo+1,FALSE)</f>
        <v>Best Estimate der Langzeitverpflichtungen (Kranken): Brutto</v>
      </c>
      <c r="F198" s="433"/>
      <c r="G198" s="434"/>
      <c r="H198" s="435"/>
      <c r="I198" s="423">
        <f t="shared" ref="I198:I203" si="104">IF(ISBLANK(B198),"",F198+SUMPRODUCT(--($G$6:$G$247=B198),$H$6:$H$247,$C$6:$C$247)*C198-H198)</f>
        <v>0</v>
      </c>
      <c r="J198" s="436"/>
      <c r="K198" s="423">
        <f t="shared" si="102"/>
        <v>0</v>
      </c>
      <c r="L198" s="423">
        <f t="shared" si="101"/>
        <v>0</v>
      </c>
      <c r="M198" s="423">
        <f>'SST Balance Sheet BVG'!E198</f>
        <v>0</v>
      </c>
    </row>
    <row r="199" spans="2:13" s="424" customFormat="1" ht="14.25" customHeight="1" x14ac:dyDescent="0.25">
      <c r="B199" s="417">
        <f t="shared" ref="B199:B203" si="105">ROW(B199)</f>
        <v>199</v>
      </c>
      <c r="C199" s="425">
        <v>-1</v>
      </c>
      <c r="D199" s="442"/>
      <c r="E199" s="417" t="str">
        <f>VLOOKUP("T.08.165",Translation,LanguageNo+1,FALSE)</f>
        <v>Schwankungsrückstellungen und weitere statutarische Reserven (Kranken): Brutto</v>
      </c>
      <c r="F199" s="433"/>
      <c r="G199" s="434"/>
      <c r="H199" s="435"/>
      <c r="I199" s="423">
        <f t="shared" si="104"/>
        <v>0</v>
      </c>
      <c r="J199" s="436"/>
      <c r="K199" s="423">
        <f t="shared" si="102"/>
        <v>0</v>
      </c>
      <c r="L199" s="423">
        <f t="shared" si="101"/>
        <v>0</v>
      </c>
      <c r="M199" s="438">
        <f>'SST Balance Sheet BVG'!E199</f>
        <v>0</v>
      </c>
    </row>
    <row r="200" spans="2:13" s="424" customFormat="1" ht="14.25" customHeight="1" x14ac:dyDescent="0.25">
      <c r="B200" s="417">
        <f t="shared" si="105"/>
        <v>200</v>
      </c>
      <c r="C200" s="425">
        <v>-1</v>
      </c>
      <c r="D200" s="440"/>
      <c r="E200" s="417" t="str">
        <f>VLOOKUP("T.08.166",Translation,LanguageNo+1,FALSE)</f>
        <v>Best Estimate der sonstigen Versicherungsverpflichtungen (Kranken): Brutto</v>
      </c>
      <c r="F200" s="433"/>
      <c r="G200" s="434"/>
      <c r="H200" s="435"/>
      <c r="I200" s="423">
        <f t="shared" si="104"/>
        <v>0</v>
      </c>
      <c r="J200" s="436"/>
      <c r="K200" s="423">
        <f t="shared" si="102"/>
        <v>0</v>
      </c>
      <c r="L200" s="423">
        <f t="shared" si="101"/>
        <v>0</v>
      </c>
      <c r="M200" s="423">
        <f>'SST Balance Sheet BVG'!E200</f>
        <v>0</v>
      </c>
    </row>
    <row r="201" spans="2:13" s="424" customFormat="1" ht="14.25" customHeight="1" x14ac:dyDescent="0.25">
      <c r="B201" s="417">
        <f t="shared" si="105"/>
        <v>201</v>
      </c>
      <c r="C201" s="425">
        <v>-1</v>
      </c>
      <c r="D201" s="440"/>
      <c r="E201" s="417" t="str">
        <f>VLOOKUP("T.08.167",Translation,LanguageNo+1,FALSE)</f>
        <v>Rückstellungen für vertragliche Überschussbeteiligungen (Kranken): Brutto</v>
      </c>
      <c r="F201" s="433"/>
      <c r="G201" s="434"/>
      <c r="H201" s="435"/>
      <c r="I201" s="423">
        <f t="shared" si="104"/>
        <v>0</v>
      </c>
      <c r="J201" s="436"/>
      <c r="K201" s="423">
        <f t="shared" si="102"/>
        <v>0</v>
      </c>
      <c r="L201" s="423">
        <f t="shared" si="101"/>
        <v>0</v>
      </c>
      <c r="M201" s="423">
        <f>'SST Balance Sheet BVG'!E201</f>
        <v>0</v>
      </c>
    </row>
    <row r="202" spans="2:13" s="424" customFormat="1" ht="14.25" customHeight="1" x14ac:dyDescent="0.25">
      <c r="B202" s="417">
        <f t="shared" si="105"/>
        <v>202</v>
      </c>
      <c r="C202" s="425">
        <v>-1</v>
      </c>
      <c r="D202" s="440"/>
      <c r="E202" s="439" t="str">
        <f>VLOOKUP("T.08.168",Translation,LanguageNo+1,FALSE)</f>
        <v>Rückstellungen für Überschussfonds (Kranken): Brutto</v>
      </c>
      <c r="F202" s="444"/>
      <c r="G202" s="453"/>
      <c r="H202" s="445"/>
      <c r="I202" s="423">
        <f t="shared" si="104"/>
        <v>0</v>
      </c>
      <c r="J202" s="446"/>
      <c r="K202" s="423">
        <f t="shared" si="102"/>
        <v>0</v>
      </c>
      <c r="L202" s="423">
        <f t="shared" si="101"/>
        <v>0</v>
      </c>
      <c r="M202" s="423">
        <f>'SST Balance Sheet BVG'!E202</f>
        <v>0</v>
      </c>
    </row>
    <row r="203" spans="2:13" s="424" customFormat="1" ht="14.25" customHeight="1" x14ac:dyDescent="0.25">
      <c r="B203" s="417">
        <f t="shared" si="105"/>
        <v>203</v>
      </c>
      <c r="C203" s="425">
        <v>-1</v>
      </c>
      <c r="D203" s="417">
        <v>201204000</v>
      </c>
      <c r="E203" s="426" t="str">
        <f>VLOOKUP("T.08.169",Translation,LanguageNo+1,FALSE)</f>
        <v>Aktive Rückversicherung: Krankenversicherungsgeschäft</v>
      </c>
      <c r="F203" s="427"/>
      <c r="G203" s="428"/>
      <c r="H203" s="429"/>
      <c r="I203" s="423">
        <f t="shared" si="104"/>
        <v>0</v>
      </c>
      <c r="J203" s="430"/>
      <c r="K203" s="423">
        <f t="shared" ref="K203" si="106">$I203+$J203</f>
        <v>0</v>
      </c>
      <c r="L203" s="423">
        <f t="shared" ref="L203:L214" si="107">$M203-$K203</f>
        <v>0</v>
      </c>
      <c r="M203" s="423">
        <f>'SST Balance Sheet BVG'!E203</f>
        <v>0</v>
      </c>
    </row>
    <row r="204" spans="2:13" s="424" customFormat="1" ht="14.25" customHeight="1" x14ac:dyDescent="0.25">
      <c r="B204" s="417"/>
      <c r="C204" s="418"/>
      <c r="D204" s="417"/>
      <c r="E204" s="439"/>
      <c r="F204" s="422"/>
      <c r="G204" s="422"/>
      <c r="H204" s="422"/>
      <c r="I204" s="423"/>
      <c r="J204" s="422"/>
      <c r="K204" s="423"/>
      <c r="L204" s="423"/>
      <c r="M204" s="423"/>
    </row>
    <row r="205" spans="2:13" s="424" customFormat="1" ht="14.25" customHeight="1" x14ac:dyDescent="0.25">
      <c r="B205" s="417">
        <f t="shared" ref="B205:B211" si="108">ROW(B205)</f>
        <v>205</v>
      </c>
      <c r="C205" s="425">
        <v>-1</v>
      </c>
      <c r="D205" s="419"/>
      <c r="E205" s="454" t="str">
        <f>VLOOKUP("T.08.170",Translation,LanguageNo+1,FALSE)</f>
        <v>Direktversicherung: Sonstiges Geschäft</v>
      </c>
      <c r="F205" s="444"/>
      <c r="G205" s="434"/>
      <c r="H205" s="435"/>
      <c r="I205" s="423">
        <f>IF(ISBLANK(B205),"",F205+SUMPRODUCT(--($G$6:$G$247=B205),$H$6:$H$247,$C$6:$C$247)*C205-H205)</f>
        <v>0</v>
      </c>
      <c r="J205" s="436"/>
      <c r="K205" s="423">
        <f t="shared" ref="K205" si="109">$I205+$J205</f>
        <v>0</v>
      </c>
      <c r="L205" s="423">
        <f t="shared" ref="L205" si="110">$M205-$K205</f>
        <v>0</v>
      </c>
      <c r="M205" s="423">
        <f>'SST Balance Sheet BVG'!E205</f>
        <v>0</v>
      </c>
    </row>
    <row r="206" spans="2:13" s="424" customFormat="1" ht="14.25" customHeight="1" x14ac:dyDescent="0.25">
      <c r="B206" s="417">
        <f t="shared" si="108"/>
        <v>206</v>
      </c>
      <c r="C206" s="425">
        <v>-1</v>
      </c>
      <c r="D206" s="417"/>
      <c r="E206" s="426" t="str">
        <f>VLOOKUP("T.08.171",Translation,LanguageNo+1,FALSE)</f>
        <v>Aktive Rückversicherung: Sonstiges Geschäft</v>
      </c>
      <c r="F206" s="444"/>
      <c r="G206" s="434"/>
      <c r="H206" s="435"/>
      <c r="I206" s="423">
        <f>IF(ISBLANK(B206),"",F206+SUMPRODUCT(--($G$6:$G$247=B206),$H$6:$H$247,$C$6:$C$247)*C206-H206)</f>
        <v>0</v>
      </c>
      <c r="J206" s="436"/>
      <c r="K206" s="423">
        <f t="shared" ref="K206" si="111">$I206+$J206</f>
        <v>0</v>
      </c>
      <c r="L206" s="423">
        <f t="shared" si="107"/>
        <v>0</v>
      </c>
      <c r="M206" s="423">
        <f>'SST Balance Sheet BVG'!E206</f>
        <v>0</v>
      </c>
    </row>
    <row r="207" spans="2:13" s="424" customFormat="1" ht="14.25" customHeight="1" x14ac:dyDescent="0.25">
      <c r="B207" s="418"/>
      <c r="C207" s="417"/>
      <c r="D207" s="439"/>
      <c r="E207" s="422"/>
      <c r="F207" s="422"/>
      <c r="G207" s="422"/>
      <c r="H207" s="423"/>
      <c r="I207" s="422"/>
      <c r="J207" s="423"/>
      <c r="K207" s="423"/>
      <c r="L207" s="423"/>
      <c r="M207" s="423"/>
    </row>
    <row r="208" spans="2:13" s="424" customFormat="1" ht="14.25" customHeight="1" x14ac:dyDescent="0.25">
      <c r="B208" s="417">
        <f t="shared" si="108"/>
        <v>208</v>
      </c>
      <c r="C208" s="418"/>
      <c r="D208" s="417">
        <v>202010000</v>
      </c>
      <c r="E208" s="426" t="str">
        <f>VLOOKUP("T.08.172",Translation,LanguageNo+1,FALSE)</f>
        <v>2.2 Versicherungstechnische Rückstellungen für anteilgebundene Lebensversicherung: Brutto</v>
      </c>
      <c r="F208" s="421">
        <f>F209+F211+F213+F214</f>
        <v>0</v>
      </c>
      <c r="G208" s="421"/>
      <c r="H208" s="421"/>
      <c r="I208" s="422">
        <f>I209+I211+I213+I214</f>
        <v>0</v>
      </c>
      <c r="J208" s="421">
        <f>J209+J211+J213+J214</f>
        <v>0</v>
      </c>
      <c r="K208" s="422">
        <f>K209+K211+K213+K214</f>
        <v>0</v>
      </c>
      <c r="L208" s="423">
        <f t="shared" ref="L208:L213" si="112">$M208-$K208</f>
        <v>0</v>
      </c>
      <c r="M208" s="423">
        <f>'SST Balance Sheet BVG'!E208</f>
        <v>0</v>
      </c>
    </row>
    <row r="209" spans="2:13" s="424" customFormat="1" ht="14.25" customHeight="1" x14ac:dyDescent="0.25">
      <c r="B209" s="417">
        <f t="shared" si="108"/>
        <v>209</v>
      </c>
      <c r="C209" s="425">
        <v>-1</v>
      </c>
      <c r="D209" s="417"/>
      <c r="E209" s="417" t="str">
        <f>VLOOKUP("T.08.173",Translation,LanguageNo+1,FALSE)</f>
        <v>Fondsanteilgebundene Lebensversicherung (A 2.1 - A 2.3 &amp; A 6.1)</v>
      </c>
      <c r="F209" s="444"/>
      <c r="G209" s="434"/>
      <c r="H209" s="435"/>
      <c r="I209" s="423">
        <f>IF(ISBLANK(B209),"",F209+SUMPRODUCT(--($G$6:$G$247=B209),$H$6:$H$247,$C$6:$C$247)*C209-H209)</f>
        <v>0</v>
      </c>
      <c r="J209" s="436"/>
      <c r="K209" s="423">
        <f t="shared" ref="K209" si="113">$I209+$J209</f>
        <v>0</v>
      </c>
      <c r="L209" s="423">
        <f t="shared" si="112"/>
        <v>0</v>
      </c>
      <c r="M209" s="423">
        <f>'SST Balance Sheet BVG'!E209</f>
        <v>0</v>
      </c>
    </row>
    <row r="210" spans="2:13" s="424" customFormat="1" ht="14.25" customHeight="1" x14ac:dyDescent="0.25">
      <c r="B210" s="417">
        <f t="shared" si="108"/>
        <v>210</v>
      </c>
      <c r="C210" s="418"/>
      <c r="D210" s="417"/>
      <c r="E210" s="431" t="str">
        <f>VLOOKUP("T.08.174",Translation,LanguageNo+1,FALSE)</f>
        <v>davon Optionen und Garantien</v>
      </c>
      <c r="F210" s="433"/>
      <c r="G210" s="441"/>
      <c r="H210" s="441"/>
      <c r="I210" s="423"/>
      <c r="J210" s="441"/>
      <c r="K210" s="423"/>
      <c r="L210" s="423"/>
      <c r="M210" s="423"/>
    </row>
    <row r="211" spans="2:13" s="424" customFormat="1" ht="14.25" customHeight="1" x14ac:dyDescent="0.25">
      <c r="B211" s="417">
        <f t="shared" si="108"/>
        <v>211</v>
      </c>
      <c r="C211" s="425">
        <v>-1</v>
      </c>
      <c r="D211" s="440"/>
      <c r="E211" s="417" t="str">
        <f>VLOOKUP("T.08.175",Translation,LanguageNo+1,FALSE)</f>
        <v>An interne Anlagebestände oder andere Bezugswerte gebundene Lebensversicherung: Brutto (A 2.4 - A 2.6 &amp; A 6.2)</v>
      </c>
      <c r="F211" s="436"/>
      <c r="G211" s="433"/>
      <c r="H211" s="435"/>
      <c r="I211" s="423">
        <f>IF(ISBLANK(B211),"",F211+SUMPRODUCT(--($G$6:$G$247=B211),$H$6:$H$247,$C$6:$C$247)*C211-H211)</f>
        <v>0</v>
      </c>
      <c r="J211" s="436"/>
      <c r="K211" s="423">
        <f t="shared" ref="K211" si="114">$I211+$J211</f>
        <v>0</v>
      </c>
      <c r="L211" s="423">
        <f t="shared" si="112"/>
        <v>0</v>
      </c>
      <c r="M211" s="423">
        <f>'SST Balance Sheet BVG'!E211</f>
        <v>0</v>
      </c>
    </row>
    <row r="212" spans="2:13" s="424" customFormat="1" ht="14.25" customHeight="1" x14ac:dyDescent="0.25">
      <c r="B212" s="417">
        <f t="shared" ref="B212:B216" si="115">ROW(B212)</f>
        <v>212</v>
      </c>
      <c r="C212" s="418"/>
      <c r="D212" s="419"/>
      <c r="E212" s="455" t="str">
        <f>VLOOKUP("T.08.176",Translation,LanguageNo+1,FALSE)</f>
        <v>davon Optionen und Garantien</v>
      </c>
      <c r="F212" s="433"/>
      <c r="G212" s="441"/>
      <c r="H212" s="441"/>
      <c r="I212" s="423"/>
      <c r="J212" s="441"/>
      <c r="K212" s="423"/>
      <c r="L212" s="423"/>
      <c r="M212" s="423"/>
    </row>
    <row r="213" spans="2:13" s="424" customFormat="1" ht="14.25" customHeight="1" x14ac:dyDescent="0.25">
      <c r="B213" s="417">
        <f t="shared" si="115"/>
        <v>213</v>
      </c>
      <c r="C213" s="425">
        <v>-1</v>
      </c>
      <c r="D213" s="419">
        <v>202400100</v>
      </c>
      <c r="E213" s="417" t="str">
        <f>VLOOKUP("T.08.177",Translation,LanguageNo+1,FALSE)</f>
        <v>Schwankungsrückstellungen für anteilgebundene Lebensversicherungen direktes Geschäft: Brutto</v>
      </c>
      <c r="F213" s="446"/>
      <c r="G213" s="444"/>
      <c r="H213" s="445"/>
      <c r="I213" s="423">
        <f>IF(ISBLANK(B213),"",F213+SUMPRODUCT(--($G$6:$G$247=B213),$H$6:$H$247,$C$6:$C$247)*C213-H213)</f>
        <v>0</v>
      </c>
      <c r="J213" s="446"/>
      <c r="K213" s="423">
        <f t="shared" ref="K213" si="116">$I213+$J213</f>
        <v>0</v>
      </c>
      <c r="L213" s="423">
        <f t="shared" si="112"/>
        <v>0</v>
      </c>
      <c r="M213" s="438">
        <f>'SST Balance Sheet BVG'!E213</f>
        <v>0</v>
      </c>
    </row>
    <row r="214" spans="2:13" s="424" customFormat="1" ht="14.25" customHeight="1" x14ac:dyDescent="0.25">
      <c r="B214" s="417">
        <f t="shared" si="115"/>
        <v>214</v>
      </c>
      <c r="C214" s="425">
        <v>-1</v>
      </c>
      <c r="D214" s="419">
        <v>202020000</v>
      </c>
      <c r="E214" s="417" t="str">
        <f>VLOOKUP("T.08.178",Translation,LanguageNo+1,FALSE)</f>
        <v>Aktive Rückversicherung: Anteilgebundenes Lebensversicherungsgeschäft</v>
      </c>
      <c r="F214" s="427"/>
      <c r="G214" s="428"/>
      <c r="H214" s="429"/>
      <c r="I214" s="423">
        <f>IF(ISBLANK(B214),"",F214+SUMPRODUCT(--($G$6:$G$247=B214),$H$6:$H$247,$C$6:$C$247)*C214-H214)</f>
        <v>0</v>
      </c>
      <c r="J214" s="430"/>
      <c r="K214" s="423">
        <f t="shared" ref="K214" si="117">$I214+$J214</f>
        <v>0</v>
      </c>
      <c r="L214" s="423">
        <f t="shared" si="107"/>
        <v>0</v>
      </c>
      <c r="M214" s="423">
        <f>'SST Balance Sheet BVG'!E214</f>
        <v>0</v>
      </c>
    </row>
    <row r="215" spans="2:13" s="84" customFormat="1" ht="14.25" customHeight="1" x14ac:dyDescent="0.25">
      <c r="B215" s="94"/>
      <c r="C215" s="221"/>
      <c r="D215" s="94"/>
      <c r="E215" s="94"/>
      <c r="F215" s="96"/>
      <c r="G215" s="96"/>
      <c r="H215" s="96"/>
      <c r="I215" s="222"/>
      <c r="J215" s="96"/>
      <c r="K215" s="222"/>
      <c r="L215" s="222"/>
      <c r="M215" s="222"/>
    </row>
    <row r="216" spans="2:13" ht="14.25" customHeight="1" x14ac:dyDescent="0.25">
      <c r="B216" s="50">
        <f t="shared" si="115"/>
        <v>216</v>
      </c>
      <c r="D216" s="307">
        <v>203000000</v>
      </c>
      <c r="E216" s="98" t="str">
        <f>VLOOKUP("T.08.179",Translation,LanguageNo+1,FALSE)</f>
        <v>2.3 Nichtversicherungstechnische Rückstellungen</v>
      </c>
      <c r="F216" s="99">
        <f>SUM(F217:F219)</f>
        <v>0</v>
      </c>
      <c r="G216" s="99"/>
      <c r="H216" s="99"/>
      <c r="I216" s="100">
        <f>SUM(I217:I219)</f>
        <v>0</v>
      </c>
      <c r="J216" s="99">
        <f>SUM(J217:J219)</f>
        <v>0</v>
      </c>
      <c r="K216" s="100">
        <f>SUM(K217:K219)</f>
        <v>0</v>
      </c>
      <c r="L216" s="217">
        <f t="shared" ref="L216:L219" si="118">$M216-$K216</f>
        <v>0</v>
      </c>
      <c r="M216" s="217">
        <f>'SST Balance Sheet BVG'!E216</f>
        <v>0</v>
      </c>
    </row>
    <row r="217" spans="2:13" ht="14.25" customHeight="1" x14ac:dyDescent="0.25">
      <c r="B217" s="50">
        <f t="shared" ref="B217" si="119">ROW(B217)</f>
        <v>217</v>
      </c>
      <c r="C217" s="219">
        <v>-1</v>
      </c>
      <c r="D217" s="320">
        <v>203000200</v>
      </c>
      <c r="E217" s="50" t="str">
        <f>VLOOKUP("T.08.180",Translation,LanguageNo+1,FALSE)</f>
        <v>Rückstellungen für Personalvorsorge</v>
      </c>
      <c r="F217" s="85"/>
      <c r="G217" s="48"/>
      <c r="H217" s="104"/>
      <c r="I217" s="217">
        <f>IF(ISBLANK(B217),"",F217+SUMPRODUCT(--($G$6:$G$247=B217),$H$6:$H$247,$C$6:$C$247)*C217-H217)</f>
        <v>0</v>
      </c>
      <c r="J217" s="86"/>
      <c r="K217" s="217">
        <f t="shared" ref="K217:K219" si="120">$I217+$J217</f>
        <v>0</v>
      </c>
      <c r="L217" s="217">
        <f t="shared" si="118"/>
        <v>0</v>
      </c>
      <c r="M217" s="217">
        <f>'SST Balance Sheet BVG'!E217</f>
        <v>0</v>
      </c>
    </row>
    <row r="218" spans="2:13" ht="14.25" customHeight="1" x14ac:dyDescent="0.25">
      <c r="B218" s="50">
        <f t="shared" ref="B218:B226" si="121">ROW(B218)</f>
        <v>218</v>
      </c>
      <c r="C218" s="219">
        <v>-1</v>
      </c>
      <c r="D218" s="320">
        <v>203100000</v>
      </c>
      <c r="E218" s="50" t="str">
        <f>VLOOKUP("T.08.181",Translation,LanguageNo+1,FALSE)</f>
        <v xml:space="preserve">Finanzielle Rückstellungen </v>
      </c>
      <c r="F218" s="85"/>
      <c r="G218" s="48"/>
      <c r="H218" s="104"/>
      <c r="I218" s="217">
        <f>IF(ISBLANK(B218),"",F218+SUMPRODUCT(--($G$6:$G$247=B218),$H$6:$H$247,$C$6:$C$247)*C218-H218)</f>
        <v>0</v>
      </c>
      <c r="J218" s="86"/>
      <c r="K218" s="217">
        <f t="shared" si="120"/>
        <v>0</v>
      </c>
      <c r="L218" s="217">
        <f t="shared" si="118"/>
        <v>0</v>
      </c>
      <c r="M218" s="356">
        <f>'SST Balance Sheet BVG'!E218</f>
        <v>0</v>
      </c>
    </row>
    <row r="219" spans="2:13" ht="14.25" customHeight="1" x14ac:dyDescent="0.25">
      <c r="B219" s="50">
        <f t="shared" si="121"/>
        <v>219</v>
      </c>
      <c r="C219" s="219">
        <v>-1</v>
      </c>
      <c r="D219" s="354" t="s">
        <v>181</v>
      </c>
      <c r="E219" s="50" t="str">
        <f>VLOOKUP("T.08.182",Translation,LanguageNo+1,FALSE)</f>
        <v xml:space="preserve">Sonstige Rückstellungen </v>
      </c>
      <c r="F219" s="92"/>
      <c r="G219" s="143"/>
      <c r="H219" s="121"/>
      <c r="I219" s="217">
        <f>IF(ISBLANK(B219),"",F219+SUMPRODUCT(--($G$6:$G$247=B219),$H$6:$H$247,$C$6:$C$247)*C219-H219)</f>
        <v>0</v>
      </c>
      <c r="J219" s="220"/>
      <c r="K219" s="217">
        <f t="shared" si="120"/>
        <v>0</v>
      </c>
      <c r="L219" s="217">
        <f t="shared" si="118"/>
        <v>0</v>
      </c>
      <c r="M219" s="217">
        <f>'SST Balance Sheet BVG'!E219</f>
        <v>0</v>
      </c>
    </row>
    <row r="220" spans="2:13" s="84" customFormat="1" ht="14.25" customHeight="1" x14ac:dyDescent="0.25">
      <c r="B220" s="94"/>
      <c r="C220" s="221"/>
      <c r="D220" s="94"/>
      <c r="E220" s="94"/>
      <c r="F220" s="96"/>
      <c r="G220" s="96"/>
      <c r="H220" s="96"/>
      <c r="I220" s="222"/>
      <c r="J220" s="96"/>
      <c r="K220" s="222"/>
      <c r="L220" s="222"/>
      <c r="M220" s="222"/>
    </row>
    <row r="221" spans="2:13" ht="14.25" customHeight="1" x14ac:dyDescent="0.25">
      <c r="B221" s="50">
        <f t="shared" si="121"/>
        <v>221</v>
      </c>
      <c r="C221" s="219">
        <v>-1</v>
      </c>
      <c r="D221" s="320">
        <v>204000000</v>
      </c>
      <c r="E221" s="98" t="str">
        <f>VLOOKUP("T.08.183",Translation,LanguageNo+1,FALSE)</f>
        <v>2.4 Verzinsliche Verbindlichkeiten</v>
      </c>
      <c r="F221" s="85"/>
      <c r="G221" s="48"/>
      <c r="H221" s="104"/>
      <c r="I221" s="217">
        <f>IF(ISBLANK(B221),"",F221+SUMPRODUCT(--($G$6:$G$247=B221),$H$6:$H$247,$C$6:$C$247)*C221-H221)</f>
        <v>0</v>
      </c>
      <c r="J221" s="86"/>
      <c r="K221" s="217">
        <f t="shared" ref="K221" si="122">$I221+$J221</f>
        <v>0</v>
      </c>
      <c r="L221" s="217">
        <f t="shared" ref="L221" si="123">$M221-$K221</f>
        <v>0</v>
      </c>
      <c r="M221" s="217">
        <f>'SST Balance Sheet BVG'!E221</f>
        <v>0</v>
      </c>
    </row>
    <row r="222" spans="2:13" s="84" customFormat="1" ht="14.25" customHeight="1" x14ac:dyDescent="0.25">
      <c r="B222" s="94"/>
      <c r="C222" s="221"/>
      <c r="D222" s="94"/>
      <c r="E222" s="94"/>
      <c r="F222" s="96"/>
      <c r="G222" s="96"/>
      <c r="H222" s="96"/>
      <c r="I222" s="222"/>
      <c r="J222" s="96"/>
      <c r="K222" s="222"/>
      <c r="L222" s="222"/>
      <c r="M222" s="222"/>
    </row>
    <row r="223" spans="2:13" ht="14.25" customHeight="1" x14ac:dyDescent="0.25">
      <c r="B223" s="50">
        <f t="shared" si="121"/>
        <v>223</v>
      </c>
      <c r="D223" s="320">
        <v>205000000</v>
      </c>
      <c r="E223" s="98" t="str">
        <f>VLOOKUP("T.08.184",Translation,LanguageNo+1,FALSE)</f>
        <v>2.5. Verbindlichkeiten aus derivativen Finanzinstrumenten</v>
      </c>
      <c r="F223" s="99">
        <f>SUM(F224:F229)</f>
        <v>0</v>
      </c>
      <c r="G223" s="99"/>
      <c r="H223" s="99"/>
      <c r="I223" s="100">
        <f>SUM(I224:I229)</f>
        <v>0</v>
      </c>
      <c r="J223" s="99">
        <f>SUM(J224:J229)</f>
        <v>0</v>
      </c>
      <c r="K223" s="100">
        <f>SUM(K224:K229)</f>
        <v>0</v>
      </c>
      <c r="L223" s="217">
        <f t="shared" ref="L223:L229" si="124">$M223-$K223</f>
        <v>0</v>
      </c>
      <c r="M223" s="217">
        <f>'SST Balance Sheet BVG'!E223</f>
        <v>0</v>
      </c>
    </row>
    <row r="224" spans="2:13" ht="14.25" customHeight="1" x14ac:dyDescent="0.25">
      <c r="B224" s="50">
        <f t="shared" si="121"/>
        <v>224</v>
      </c>
      <c r="C224" s="219">
        <v>-1</v>
      </c>
      <c r="D224" s="320">
        <v>205000100</v>
      </c>
      <c r="E224" s="50" t="str">
        <f>VLOOKUP("T.08.185",Translation,LanguageNo+1,FALSE)</f>
        <v>Zinsrisikobezogene Instrumente</v>
      </c>
      <c r="F224" s="85"/>
      <c r="G224" s="48"/>
      <c r="H224" s="104"/>
      <c r="I224" s="217">
        <f t="shared" ref="I224:I229" si="125">IF(ISBLANK(B224),"",F224+SUMPRODUCT(--($G$6:$G$247=B224),$H$6:$H$247,$C$6:$C$247)*C224-H224)</f>
        <v>0</v>
      </c>
      <c r="J224" s="86"/>
      <c r="K224" s="217">
        <f t="shared" ref="K224:K229" si="126">$I224+$J224</f>
        <v>0</v>
      </c>
      <c r="L224" s="217">
        <f t="shared" si="124"/>
        <v>0</v>
      </c>
      <c r="M224" s="217">
        <f>'SST Balance Sheet BVG'!E224</f>
        <v>0</v>
      </c>
    </row>
    <row r="225" spans="2:13" ht="14.25" customHeight="1" x14ac:dyDescent="0.25">
      <c r="B225" s="50">
        <f t="shared" si="121"/>
        <v>225</v>
      </c>
      <c r="C225" s="219">
        <v>-1</v>
      </c>
      <c r="D225" s="50">
        <v>205000200</v>
      </c>
      <c r="E225" s="50" t="str">
        <f>VLOOKUP("T.08.186",Translation,LanguageNo+1,FALSE)</f>
        <v>Währungsrisikobezogene Instrumente</v>
      </c>
      <c r="F225" s="85"/>
      <c r="G225" s="48"/>
      <c r="H225" s="104"/>
      <c r="I225" s="217">
        <f t="shared" si="125"/>
        <v>0</v>
      </c>
      <c r="J225" s="86"/>
      <c r="K225" s="217">
        <f t="shared" si="126"/>
        <v>0</v>
      </c>
      <c r="L225" s="217">
        <f t="shared" si="124"/>
        <v>0</v>
      </c>
      <c r="M225" s="217">
        <f>'SST Balance Sheet BVG'!E225</f>
        <v>0</v>
      </c>
    </row>
    <row r="226" spans="2:13" ht="14.25" customHeight="1" x14ac:dyDescent="0.25">
      <c r="B226" s="50">
        <f t="shared" si="121"/>
        <v>226</v>
      </c>
      <c r="C226" s="219">
        <v>-1</v>
      </c>
      <c r="D226" s="50">
        <v>205000300</v>
      </c>
      <c r="E226" s="91" t="str">
        <f>VLOOKUP("T.08.187",Translation,LanguageNo+1,FALSE)</f>
        <v>(Aktien-)Marktrisikobezogene Instrumente</v>
      </c>
      <c r="F226" s="85"/>
      <c r="G226" s="48"/>
      <c r="H226" s="104"/>
      <c r="I226" s="217">
        <f t="shared" si="125"/>
        <v>0</v>
      </c>
      <c r="J226" s="86"/>
      <c r="K226" s="217">
        <f t="shared" si="126"/>
        <v>0</v>
      </c>
      <c r="L226" s="217">
        <f t="shared" si="124"/>
        <v>0</v>
      </c>
      <c r="M226" s="217">
        <f>'SST Balance Sheet BVG'!E226</f>
        <v>0</v>
      </c>
    </row>
    <row r="227" spans="2:13" ht="14.25" customHeight="1" x14ac:dyDescent="0.25">
      <c r="B227" s="50">
        <f t="shared" ref="B227" si="127">ROW(B227)</f>
        <v>227</v>
      </c>
      <c r="C227" s="219">
        <v>-1</v>
      </c>
      <c r="D227" s="320">
        <v>205000400</v>
      </c>
      <c r="E227" s="307" t="str">
        <f>VLOOKUP("T.08.188",Translation,LanguageNo+1,FALSE)</f>
        <v>Kreditrisikobezogene Instrumente</v>
      </c>
      <c r="F227" s="85"/>
      <c r="G227" s="48"/>
      <c r="H227" s="104"/>
      <c r="I227" s="217">
        <f t="shared" si="125"/>
        <v>0</v>
      </c>
      <c r="J227" s="86"/>
      <c r="K227" s="217">
        <f t="shared" si="126"/>
        <v>0</v>
      </c>
      <c r="L227" s="217">
        <f t="shared" si="124"/>
        <v>0</v>
      </c>
      <c r="M227" s="217">
        <f>'SST Balance Sheet BVG'!E227</f>
        <v>0</v>
      </c>
    </row>
    <row r="228" spans="2:13" ht="14.25" customHeight="1" x14ac:dyDescent="0.25">
      <c r="B228" s="50">
        <f t="shared" ref="B228:B233" si="128">ROW(B228)</f>
        <v>228</v>
      </c>
      <c r="C228" s="219">
        <v>-1</v>
      </c>
      <c r="D228" s="320">
        <v>205000500</v>
      </c>
      <c r="E228" s="145" t="str">
        <f>VLOOKUP("T.08.189",Translation,LanguageNo+1,FALSE)</f>
        <v>Versicherungsbezogene Instrumente (z.B. Cat Derivate)</v>
      </c>
      <c r="F228" s="85"/>
      <c r="G228" s="48"/>
      <c r="H228" s="104"/>
      <c r="I228" s="217">
        <f t="shared" si="125"/>
        <v>0</v>
      </c>
      <c r="J228" s="86"/>
      <c r="K228" s="217">
        <f t="shared" si="126"/>
        <v>0</v>
      </c>
      <c r="L228" s="217">
        <f t="shared" si="124"/>
        <v>0</v>
      </c>
      <c r="M228" s="217">
        <f>'SST Balance Sheet BVG'!E228</f>
        <v>0</v>
      </c>
    </row>
    <row r="229" spans="2:13" ht="14.25" customHeight="1" x14ac:dyDescent="0.25">
      <c r="B229" s="50">
        <f t="shared" si="128"/>
        <v>229</v>
      </c>
      <c r="C229" s="219">
        <v>-1</v>
      </c>
      <c r="D229" s="320">
        <v>205000600</v>
      </c>
      <c r="E229" s="91" t="str">
        <f>VLOOKUP("T.08.190",Translation,LanguageNo+1,FALSE)</f>
        <v>Übrige derivative Instrumente</v>
      </c>
      <c r="F229" s="92"/>
      <c r="G229" s="143"/>
      <c r="H229" s="121"/>
      <c r="I229" s="217">
        <f t="shared" si="125"/>
        <v>0</v>
      </c>
      <c r="J229" s="220"/>
      <c r="K229" s="217">
        <f t="shared" si="126"/>
        <v>0</v>
      </c>
      <c r="L229" s="217">
        <f t="shared" si="124"/>
        <v>0</v>
      </c>
      <c r="M229" s="217">
        <f>'SST Balance Sheet BVG'!E229</f>
        <v>0</v>
      </c>
    </row>
    <row r="230" spans="2:13" s="84" customFormat="1" ht="14.25" customHeight="1" x14ac:dyDescent="0.25">
      <c r="B230" s="94"/>
      <c r="C230" s="221"/>
      <c r="D230" s="94"/>
      <c r="E230" s="94"/>
      <c r="F230" s="96"/>
      <c r="G230" s="96"/>
      <c r="H230" s="96"/>
      <c r="I230" s="222"/>
      <c r="J230" s="96"/>
      <c r="K230" s="222"/>
      <c r="L230" s="222"/>
      <c r="M230" s="222"/>
    </row>
    <row r="231" spans="2:13" ht="14.25" customHeight="1" x14ac:dyDescent="0.25">
      <c r="B231" s="50">
        <f t="shared" si="128"/>
        <v>231</v>
      </c>
      <c r="C231" s="219">
        <v>-1</v>
      </c>
      <c r="D231" s="320">
        <v>206000000</v>
      </c>
      <c r="E231" s="122" t="str">
        <f>VLOOKUP("T.08.191",Translation,LanguageNo+1,FALSE)</f>
        <v>2.6 Depotverbindlichkeiten aus abgegebener Rückversicherung</v>
      </c>
      <c r="F231" s="52"/>
      <c r="G231" s="51"/>
      <c r="H231" s="144"/>
      <c r="I231" s="217">
        <f>IF(ISBLANK(B231),"",F231+SUMPRODUCT(--($G$6:$G$247=B231),$H$6:$H$247,$C$6:$C$247)*C231-H231)</f>
        <v>0</v>
      </c>
      <c r="J231" s="230"/>
      <c r="K231" s="217">
        <f t="shared" ref="K231" si="129">$I231+$J231</f>
        <v>0</v>
      </c>
      <c r="L231" s="217">
        <f t="shared" ref="L231" si="130">$M231-$K231</f>
        <v>0</v>
      </c>
      <c r="M231" s="217">
        <f>'SST Balance Sheet BVG'!E231</f>
        <v>0</v>
      </c>
    </row>
    <row r="232" spans="2:13" s="84" customFormat="1" ht="14.25" customHeight="1" x14ac:dyDescent="0.25">
      <c r="B232" s="94"/>
      <c r="C232" s="221"/>
      <c r="D232" s="94"/>
      <c r="E232" s="94"/>
      <c r="F232" s="96"/>
      <c r="G232" s="96"/>
      <c r="H232" s="96"/>
      <c r="I232" s="222"/>
      <c r="J232" s="96"/>
      <c r="K232" s="222"/>
      <c r="L232" s="222"/>
      <c r="M232" s="222"/>
    </row>
    <row r="233" spans="2:13" ht="14.25" customHeight="1" x14ac:dyDescent="0.25">
      <c r="B233" s="50">
        <f t="shared" si="128"/>
        <v>233</v>
      </c>
      <c r="D233" s="50">
        <v>207000000</v>
      </c>
      <c r="E233" s="122" t="str">
        <f>VLOOKUP("T.08.192",Translation,LanguageNo+1,FALSE)</f>
        <v>2.7 Verbindlichkeiten aus dem Versicherungsgeschäft</v>
      </c>
      <c r="F233" s="135">
        <f>SUM(F234:F235)</f>
        <v>0</v>
      </c>
      <c r="G233" s="135"/>
      <c r="H233" s="135"/>
      <c r="I233" s="228">
        <f>SUM(I234:I235)</f>
        <v>0</v>
      </c>
      <c r="J233" s="135">
        <f>SUM(J234:J235)</f>
        <v>0</v>
      </c>
      <c r="K233" s="228">
        <f>SUM(K234:K235)</f>
        <v>0</v>
      </c>
      <c r="L233" s="217">
        <f t="shared" ref="L233:L235" si="131">$M233-$K233</f>
        <v>0</v>
      </c>
      <c r="M233" s="217">
        <f>'SST Balance Sheet BVG'!E233</f>
        <v>0</v>
      </c>
    </row>
    <row r="234" spans="2:13" ht="14.25" customHeight="1" x14ac:dyDescent="0.25">
      <c r="B234" s="50">
        <f t="shared" ref="B234:B235" si="132">ROW(B234)</f>
        <v>234</v>
      </c>
      <c r="C234" s="219">
        <v>-1</v>
      </c>
      <c r="D234" s="50">
        <v>207300200</v>
      </c>
      <c r="E234" s="145" t="str">
        <f>VLOOKUP("T.08.193",Translation,LanguageNo+1,FALSE)</f>
        <v>Sonstige Depotverbindlichkeiten</v>
      </c>
      <c r="F234" s="85"/>
      <c r="G234" s="48"/>
      <c r="H234" s="104"/>
      <c r="I234" s="217">
        <f>IF(ISBLANK(B234),"",F234+SUMPRODUCT(--($G$6:$G$247=B234),$H$6:$H$247,$C$6:$C$247)*C234-H234)</f>
        <v>0</v>
      </c>
      <c r="J234" s="86"/>
      <c r="K234" s="217">
        <f t="shared" ref="K234:K235" si="133">$I234+$J234</f>
        <v>0</v>
      </c>
      <c r="L234" s="217">
        <f t="shared" si="131"/>
        <v>0</v>
      </c>
      <c r="M234" s="217">
        <f>'SST Balance Sheet BVG'!E234</f>
        <v>0</v>
      </c>
    </row>
    <row r="235" spans="2:13" ht="14.25" customHeight="1" x14ac:dyDescent="0.25">
      <c r="B235" s="50">
        <f t="shared" si="132"/>
        <v>235</v>
      </c>
      <c r="C235" s="219">
        <v>-1</v>
      </c>
      <c r="D235" s="320" t="s">
        <v>181</v>
      </c>
      <c r="E235" s="50" t="str">
        <f>VLOOKUP("T.08.194",Translation,LanguageNo+1,FALSE)</f>
        <v>Sonstige Verbindlichkeiten aus dem Versicherungsgeschäft</v>
      </c>
      <c r="F235" s="85"/>
      <c r="G235" s="48"/>
      <c r="H235" s="104"/>
      <c r="I235" s="217">
        <f>IF(ISBLANK(B235),"",F235+SUMPRODUCT(--($G$6:$G$247=B235),$H$6:$H$247,$C$6:$C$247)*C235-H235)</f>
        <v>0</v>
      </c>
      <c r="J235" s="86"/>
      <c r="K235" s="217">
        <f t="shared" si="133"/>
        <v>0</v>
      </c>
      <c r="L235" s="217">
        <f t="shared" si="131"/>
        <v>0</v>
      </c>
      <c r="M235" s="217">
        <f>'SST Balance Sheet BVG'!E235</f>
        <v>0</v>
      </c>
    </row>
    <row r="236" spans="2:13" ht="14.25" customHeight="1" x14ac:dyDescent="0.25">
      <c r="B236" s="94"/>
      <c r="C236" s="221"/>
      <c r="D236" s="94"/>
      <c r="E236" s="95"/>
      <c r="F236" s="96"/>
      <c r="G236" s="96"/>
      <c r="H236" s="96"/>
      <c r="I236" s="222"/>
      <c r="J236" s="96"/>
      <c r="K236" s="222"/>
      <c r="L236" s="222"/>
      <c r="M236" s="222"/>
    </row>
    <row r="237" spans="2:13" ht="14.25" customHeight="1" x14ac:dyDescent="0.25">
      <c r="B237" s="50">
        <f t="shared" ref="B237:B238" si="134">ROW(B237)</f>
        <v>237</v>
      </c>
      <c r="C237" s="216"/>
      <c r="D237" s="320">
        <v>208000000</v>
      </c>
      <c r="E237" s="130" t="str">
        <f>VLOOKUP("T.08.195",Translation,LanguageNo+1,FALSE)</f>
        <v>2.8 Sonstige Passiven</v>
      </c>
      <c r="F237" s="99">
        <f>SUM(F238:F239)</f>
        <v>0</v>
      </c>
      <c r="G237" s="99"/>
      <c r="H237" s="99"/>
      <c r="I237" s="100">
        <f>SUM(I238:I239)</f>
        <v>0</v>
      </c>
      <c r="J237" s="99">
        <f>SUM(J238:J239)</f>
        <v>0</v>
      </c>
      <c r="K237" s="100">
        <f>SUM(K238:K239)</f>
        <v>0</v>
      </c>
      <c r="L237" s="217">
        <f t="shared" ref="L237:L239" si="135">$M237-$K237</f>
        <v>0</v>
      </c>
      <c r="M237" s="217">
        <f>'SST Balance Sheet BVG'!E237</f>
        <v>0</v>
      </c>
    </row>
    <row r="238" spans="2:13" ht="14.25" customHeight="1" x14ac:dyDescent="0.25">
      <c r="B238" s="50">
        <f t="shared" si="134"/>
        <v>238</v>
      </c>
      <c r="C238" s="219">
        <v>-1</v>
      </c>
      <c r="D238" s="50"/>
      <c r="E238" s="50" t="str">
        <f>VLOOKUP("T.08.196",Translation,LanguageNo+1,FALSE)</f>
        <v>Gegebene Garantien, Bürgschaften</v>
      </c>
      <c r="F238" s="85"/>
      <c r="G238" s="48"/>
      <c r="H238" s="104"/>
      <c r="I238" s="217">
        <f>IF(ISBLANK(B238),"",F238+SUMPRODUCT(--($G$6:$G$247=B238),$H$6:$H$247,$C$6:$C$247)*C238-H238)</f>
        <v>0</v>
      </c>
      <c r="J238" s="86"/>
      <c r="K238" s="217">
        <f t="shared" ref="K238:K239" si="136">$I238+$J238</f>
        <v>0</v>
      </c>
      <c r="L238" s="217">
        <f t="shared" si="135"/>
        <v>0</v>
      </c>
      <c r="M238" s="217">
        <f>'SST Balance Sheet BVG'!E238</f>
        <v>0</v>
      </c>
    </row>
    <row r="239" spans="2:13" ht="14.25" customHeight="1" x14ac:dyDescent="0.25">
      <c r="B239" s="50">
        <f t="shared" ref="B239:B250" si="137">ROW(B239)</f>
        <v>239</v>
      </c>
      <c r="C239" s="219">
        <v>-1</v>
      </c>
      <c r="D239" s="354" t="s">
        <v>181</v>
      </c>
      <c r="E239" s="145" t="str">
        <f>VLOOKUP("T.08.197",Translation,LanguageNo+1,FALSE)</f>
        <v>Sonstige Verbindlichkeiten</v>
      </c>
      <c r="F239" s="92"/>
      <c r="G239" s="143"/>
      <c r="H239" s="121"/>
      <c r="I239" s="217">
        <f>IF(ISBLANK(B239),"",F239+SUMPRODUCT(--($G$6:$G$247=B239),$H$6:$H$247,$C$6:$C$247)*C239-H239)</f>
        <v>0</v>
      </c>
      <c r="J239" s="220"/>
      <c r="K239" s="217">
        <f t="shared" si="136"/>
        <v>0</v>
      </c>
      <c r="L239" s="217">
        <f t="shared" si="135"/>
        <v>0</v>
      </c>
      <c r="M239" s="217">
        <f>'SST Balance Sheet BVG'!E239</f>
        <v>0</v>
      </c>
    </row>
    <row r="240" spans="2:13" s="84" customFormat="1" ht="14.25" customHeight="1" x14ac:dyDescent="0.25">
      <c r="B240" s="94"/>
      <c r="C240" s="221"/>
      <c r="D240" s="94"/>
      <c r="E240" s="95"/>
      <c r="F240" s="96"/>
      <c r="G240" s="96"/>
      <c r="H240" s="96"/>
      <c r="I240" s="222"/>
      <c r="J240" s="96"/>
      <c r="K240" s="222"/>
      <c r="L240" s="222"/>
      <c r="M240" s="222"/>
    </row>
    <row r="241" spans="2:13" ht="14.25" customHeight="1" x14ac:dyDescent="0.25">
      <c r="B241" s="50">
        <f t="shared" si="137"/>
        <v>241</v>
      </c>
      <c r="C241" s="219"/>
      <c r="D241" s="320">
        <v>209000000</v>
      </c>
      <c r="E241" s="98" t="str">
        <f>VLOOKUP("T.08.198",Translation,LanguageNo+1,FALSE)</f>
        <v>2.9. Passive Rechnungsabgrenzungen</v>
      </c>
      <c r="F241" s="99">
        <f>SUM(F242:F243)</f>
        <v>0</v>
      </c>
      <c r="G241" s="99"/>
      <c r="H241" s="99"/>
      <c r="I241" s="99">
        <f>SUM(I242:I243)</f>
        <v>0</v>
      </c>
      <c r="J241" s="99">
        <f>SUM(J242:J243)</f>
        <v>0</v>
      </c>
      <c r="K241" s="99">
        <f>SUM(K242:K243)</f>
        <v>0</v>
      </c>
      <c r="L241" s="217">
        <f t="shared" ref="L241:L243" si="138">$M241-$K241</f>
        <v>0</v>
      </c>
      <c r="M241" s="217">
        <f>'SST Balance Sheet BVG'!E241</f>
        <v>0</v>
      </c>
    </row>
    <row r="242" spans="2:13" ht="14.25" customHeight="1" x14ac:dyDescent="0.25">
      <c r="B242" s="50">
        <f t="shared" si="137"/>
        <v>242</v>
      </c>
      <c r="C242" s="219">
        <v>-1</v>
      </c>
      <c r="D242" s="320">
        <v>209000400</v>
      </c>
      <c r="E242" s="91" t="str">
        <f>VLOOKUP("T.08.199",Translation,LanguageNo+1,FALSE)</f>
        <v>Latente Steuerverpflichtungen</v>
      </c>
      <c r="F242" s="131"/>
      <c r="G242" s="352"/>
      <c r="H242" s="275"/>
      <c r="I242" s="217">
        <f>IF(ISBLANK(B242),"",F242+SUMPRODUCT(--($G$6:$G$247=B242),$H$6:$H$247,$C$6:$C$247)*C242-H242)</f>
        <v>0</v>
      </c>
      <c r="J242" s="353"/>
      <c r="K242" s="217">
        <f t="shared" ref="K242:K243" si="139">$I242+$J242</f>
        <v>0</v>
      </c>
      <c r="L242" s="217">
        <f t="shared" si="138"/>
        <v>0</v>
      </c>
      <c r="M242" s="356">
        <f>'SST Balance Sheet BVG'!E242</f>
        <v>0</v>
      </c>
    </row>
    <row r="243" spans="2:13" ht="14.25" customHeight="1" x14ac:dyDescent="0.25">
      <c r="B243" s="50">
        <f t="shared" si="137"/>
        <v>243</v>
      </c>
      <c r="C243" s="219">
        <v>-1</v>
      </c>
      <c r="D243" s="320" t="s">
        <v>181</v>
      </c>
      <c r="E243" s="91" t="str">
        <f>VLOOKUP("T.08.200",Translation,LanguageNo+1,FALSE)</f>
        <v>Sonstige Rechnungsabgrenzungsposten</v>
      </c>
      <c r="F243" s="92"/>
      <c r="G243" s="143"/>
      <c r="H243" s="121"/>
      <c r="I243" s="217">
        <f>IF(ISBLANK(B243),"",F243+SUMPRODUCT(--($G$6:$G$247=B243),$H$6:$H$247,$C$6:$C$247)*C243-H243)</f>
        <v>0</v>
      </c>
      <c r="J243" s="220"/>
      <c r="K243" s="217">
        <f t="shared" si="139"/>
        <v>0</v>
      </c>
      <c r="L243" s="217">
        <f t="shared" si="138"/>
        <v>0</v>
      </c>
      <c r="M243" s="217">
        <f>'SST Balance Sheet BVG'!E243</f>
        <v>0</v>
      </c>
    </row>
    <row r="244" spans="2:13" s="84" customFormat="1" ht="14.25" customHeight="1" x14ac:dyDescent="0.25">
      <c r="B244" s="94"/>
      <c r="C244" s="221"/>
      <c r="D244" s="94"/>
      <c r="E244" s="158"/>
      <c r="F244" s="96"/>
      <c r="G244" s="96"/>
      <c r="H244" s="96"/>
      <c r="I244" s="222"/>
      <c r="J244" s="96"/>
      <c r="K244" s="222"/>
      <c r="L244" s="222"/>
      <c r="M244" s="222"/>
    </row>
    <row r="245" spans="2:13" ht="14.25" customHeight="1" x14ac:dyDescent="0.25">
      <c r="B245" s="50">
        <f t="shared" si="137"/>
        <v>245</v>
      </c>
      <c r="C245" s="219"/>
      <c r="D245" s="320">
        <v>210000000</v>
      </c>
      <c r="E245" s="156" t="str">
        <f>VLOOKUP("T.08.201",Translation,LanguageNo+1,FALSE)</f>
        <v>2.10 Nachrangige Verbindlichkeiten</v>
      </c>
      <c r="F245" s="99">
        <f>SUM(F246:F250)</f>
        <v>0</v>
      </c>
      <c r="G245" s="99"/>
      <c r="H245" s="99"/>
      <c r="I245" s="100">
        <f>SUM(I246:I250)</f>
        <v>0</v>
      </c>
      <c r="J245" s="99">
        <f>SUM(J246:J250)</f>
        <v>0</v>
      </c>
      <c r="K245" s="100">
        <f>SUM(K246:K250)</f>
        <v>0</v>
      </c>
      <c r="L245" s="217">
        <f t="shared" ref="L245:L250" si="140">$M245-$K245</f>
        <v>0</v>
      </c>
      <c r="M245" s="217">
        <f>'SST Balance Sheet BVG'!E245</f>
        <v>0</v>
      </c>
    </row>
    <row r="246" spans="2:13" ht="14.25" customHeight="1" x14ac:dyDescent="0.25">
      <c r="B246" s="50">
        <f t="shared" si="137"/>
        <v>246</v>
      </c>
      <c r="C246" s="219">
        <v>-1</v>
      </c>
      <c r="D246" s="320">
        <v>210000100</v>
      </c>
      <c r="E246" s="91" t="str">
        <f>VLOOKUP("T.08.202",Translation,LanguageNo+1,FALSE)</f>
        <v>Unbefristete Anleihen und Darlehen mit Eigenkapitalcharakter</v>
      </c>
      <c r="F246" s="85"/>
      <c r="G246" s="48"/>
      <c r="H246" s="104"/>
      <c r="I246" s="217">
        <f>IF(ISBLANK(B246),"",F246+SUMPRODUCT(--($G$6:$G$247=B246),$H$6:$H$247,$C$6:$C$247)*C246-H246)</f>
        <v>0</v>
      </c>
      <c r="J246" s="86"/>
      <c r="K246" s="217">
        <f t="shared" ref="K246:K250" si="141">$I246+$J246</f>
        <v>0</v>
      </c>
      <c r="L246" s="217">
        <f t="shared" si="140"/>
        <v>0</v>
      </c>
      <c r="M246" s="217">
        <f>'SST Balance Sheet BVG'!E246</f>
        <v>0</v>
      </c>
    </row>
    <row r="247" spans="2:13" s="84" customFormat="1" ht="14.25" customHeight="1" x14ac:dyDescent="0.25">
      <c r="B247" s="50">
        <f t="shared" si="137"/>
        <v>247</v>
      </c>
      <c r="C247" s="219">
        <v>-1</v>
      </c>
      <c r="D247" s="320">
        <v>210000200</v>
      </c>
      <c r="E247" s="307" t="str">
        <f>VLOOKUP("T.08.203",Translation,LanguageNo+1,FALSE)</f>
        <v>Unbefristete sonstige Verbindlichkeiten mit Eigenkapitalcharakter</v>
      </c>
      <c r="F247" s="85"/>
      <c r="G247" s="48"/>
      <c r="H247" s="104"/>
      <c r="I247" s="217">
        <f>IF(ISBLANK(B247),"",F247+SUMPRODUCT(--($G$6:$G$247=B247),$H$6:$H$247,$C$6:$C$247)*C247-H247)</f>
        <v>0</v>
      </c>
      <c r="J247" s="86"/>
      <c r="K247" s="217">
        <f t="shared" si="141"/>
        <v>0</v>
      </c>
      <c r="L247" s="217">
        <f t="shared" si="140"/>
        <v>0</v>
      </c>
      <c r="M247" s="217">
        <f>'SST Balance Sheet BVG'!E247</f>
        <v>0</v>
      </c>
    </row>
    <row r="248" spans="2:13" s="84" customFormat="1" ht="14.25" customHeight="1" x14ac:dyDescent="0.25">
      <c r="B248" s="50">
        <f t="shared" si="137"/>
        <v>248</v>
      </c>
      <c r="C248" s="219">
        <v>-1</v>
      </c>
      <c r="D248" s="320">
        <v>210000300</v>
      </c>
      <c r="E248" s="307" t="str">
        <f>VLOOKUP("T.08.204",Translation,LanguageNo+1,FALSE)</f>
        <v>Anleihen, Darlehen und sonstige Verbindlichkeiten, die zwingend in Eigenkapital gewandelt werden müssen</v>
      </c>
      <c r="F248" s="85"/>
      <c r="G248" s="48"/>
      <c r="H248" s="104"/>
      <c r="I248" s="217">
        <f>IF(ISBLANK(B248),"",F248+SUMPRODUCT(--($G$6:$G$247=B248),$H$6:$H$247,$C$6:$C$247)*C248-H248)</f>
        <v>0</v>
      </c>
      <c r="J248" s="86"/>
      <c r="K248" s="217">
        <f t="shared" si="141"/>
        <v>0</v>
      </c>
      <c r="L248" s="217">
        <f t="shared" si="140"/>
        <v>0</v>
      </c>
      <c r="M248" s="217">
        <f>'SST Balance Sheet BVG'!E248</f>
        <v>0</v>
      </c>
    </row>
    <row r="249" spans="2:13" s="84" customFormat="1" ht="14.25" customHeight="1" x14ac:dyDescent="0.25">
      <c r="B249" s="50">
        <f t="shared" si="137"/>
        <v>249</v>
      </c>
      <c r="C249" s="219">
        <v>-1</v>
      </c>
      <c r="D249" s="320">
        <v>210000400</v>
      </c>
      <c r="E249" s="307" t="str">
        <f>VLOOKUP("T.08.205",Translation,LanguageNo+1,FALSE)</f>
        <v>Anleihen und Darlehen mit Eigenkapitalcharakter mit fester Laufzeit</v>
      </c>
      <c r="F249" s="85"/>
      <c r="G249" s="48"/>
      <c r="H249" s="104"/>
      <c r="I249" s="217">
        <f>IF(ISBLANK(B249),"",F249+SUMPRODUCT(--($G$6:$G$247=B249),$H$6:$H$247,$C$6:$C$247)*C249-H249)</f>
        <v>0</v>
      </c>
      <c r="J249" s="86"/>
      <c r="K249" s="217">
        <f t="shared" si="141"/>
        <v>0</v>
      </c>
      <c r="L249" s="217">
        <f t="shared" si="140"/>
        <v>0</v>
      </c>
      <c r="M249" s="217">
        <f>'SST Balance Sheet BVG'!E249</f>
        <v>0</v>
      </c>
    </row>
    <row r="250" spans="2:13" s="84" customFormat="1" ht="14.25" customHeight="1" x14ac:dyDescent="0.25">
      <c r="B250" s="50">
        <f t="shared" si="137"/>
        <v>250</v>
      </c>
      <c r="C250" s="219">
        <v>-1</v>
      </c>
      <c r="D250" s="320">
        <v>210000500</v>
      </c>
      <c r="E250" s="307" t="str">
        <f>VLOOKUP("T.08.206",Translation,LanguageNo+1,FALSE)</f>
        <v>Sonstige Verbindlichkeiten mit Eigenkapitalcharakter mit fester Laufzeit</v>
      </c>
      <c r="F250" s="92"/>
      <c r="G250" s="143"/>
      <c r="H250" s="121"/>
      <c r="I250" s="217">
        <f>IF(ISBLANK(B250),"",F250+SUMPRODUCT(--($G$6:$G$247=B250),$H$6:$H$247,$C$6:$C$247)*C250-H250)</f>
        <v>0</v>
      </c>
      <c r="J250" s="220"/>
      <c r="K250" s="217">
        <f t="shared" si="141"/>
        <v>0</v>
      </c>
      <c r="L250" s="217">
        <f t="shared" si="140"/>
        <v>0</v>
      </c>
      <c r="M250" s="217">
        <f>'SST Balance Sheet BVG'!E250</f>
        <v>0</v>
      </c>
    </row>
    <row r="251" spans="2:13" ht="14.25" customHeight="1" x14ac:dyDescent="0.25">
      <c r="B251" s="158"/>
      <c r="C251" s="227"/>
      <c r="D251" s="102"/>
      <c r="E251" s="101"/>
      <c r="F251" s="96"/>
      <c r="G251" s="96"/>
      <c r="H251" s="96"/>
      <c r="I251" s="222"/>
      <c r="J251" s="96"/>
      <c r="K251" s="222"/>
      <c r="L251" s="222"/>
      <c r="M251" s="222"/>
    </row>
    <row r="252" spans="2:13" ht="14.25" customHeight="1" x14ac:dyDescent="0.25">
      <c r="B252" s="233">
        <f t="shared" ref="B252" si="142">ROW(B252)</f>
        <v>252</v>
      </c>
      <c r="C252" s="234"/>
      <c r="D252" s="159">
        <v>211000000</v>
      </c>
      <c r="E252" s="160" t="str">
        <f>VLOOKUP("T.08.207",Translation,LanguageNo+1,FALSE)</f>
        <v>Total Fremdkapital</v>
      </c>
      <c r="F252" s="235">
        <f>F173+F208+F216+F221+F223+F231+F233+F237+F241+F245</f>
        <v>0</v>
      </c>
      <c r="G252" s="235"/>
      <c r="H252" s="235"/>
      <c r="I252" s="235">
        <f>I173+I208+I216+I221+I223+I231+I233+I237+I241+I245</f>
        <v>0</v>
      </c>
      <c r="J252" s="235">
        <f>J173+J208+J216+J221+J223+J231+J233+J237+J241+J245</f>
        <v>0</v>
      </c>
      <c r="K252" s="235">
        <f>K173+K208+K216+K221+K223+K231+K233+K237+K241+K245</f>
        <v>0</v>
      </c>
      <c r="L252" s="236">
        <f t="shared" ref="L252" si="143">$M252-$K252</f>
        <v>0</v>
      </c>
      <c r="M252" s="236">
        <f>'SST Balance Sheet BVG'!E252</f>
        <v>0</v>
      </c>
    </row>
    <row r="253" spans="2:13" ht="12.75" customHeight="1" x14ac:dyDescent="0.25">
      <c r="B253" s="239"/>
      <c r="C253" s="237"/>
      <c r="D253" s="238"/>
    </row>
    <row r="254" spans="2:13" ht="12.75" customHeight="1" x14ac:dyDescent="0.25">
      <c r="B254" s="239"/>
      <c r="C254" s="237"/>
      <c r="D254" s="238"/>
    </row>
    <row r="255" spans="2:13" ht="12.75" customHeight="1" x14ac:dyDescent="0.25">
      <c r="B255" s="239"/>
      <c r="C255" s="237"/>
      <c r="D255" s="238"/>
    </row>
    <row r="256" spans="2:13" ht="12.75" customHeight="1" x14ac:dyDescent="0.25">
      <c r="B256" s="239"/>
      <c r="C256" s="237"/>
      <c r="D256" s="239"/>
    </row>
    <row r="257" spans="2:4" ht="12.75" customHeight="1" x14ac:dyDescent="0.25">
      <c r="B257" s="239"/>
      <c r="C257" s="237"/>
      <c r="D257" s="162"/>
    </row>
    <row r="258" spans="2:4" ht="12.75" customHeight="1" x14ac:dyDescent="0.25">
      <c r="B258" s="239"/>
      <c r="C258" s="237"/>
      <c r="D258" s="162"/>
    </row>
    <row r="259" spans="2:4" ht="12.75" customHeight="1" x14ac:dyDescent="0.25">
      <c r="B259" s="239"/>
      <c r="C259" s="237"/>
    </row>
    <row r="260" spans="2:4" ht="12.75" customHeight="1" x14ac:dyDescent="0.25">
      <c r="B260" s="239"/>
      <c r="C260" s="237"/>
    </row>
    <row r="261" spans="2:4" ht="12.75" customHeight="1" x14ac:dyDescent="0.25">
      <c r="B261" s="239"/>
      <c r="C261" s="237"/>
    </row>
    <row r="262" spans="2:4" ht="12.75" customHeight="1" x14ac:dyDescent="0.25">
      <c r="B262" s="239"/>
      <c r="C262" s="237"/>
    </row>
    <row r="263" spans="2:4" ht="12.75" customHeight="1" x14ac:dyDescent="0.25">
      <c r="B263" s="239"/>
      <c r="C263" s="237"/>
    </row>
    <row r="264" spans="2:4" ht="12.75" customHeight="1" x14ac:dyDescent="0.25">
      <c r="B264" s="239"/>
      <c r="C264" s="237"/>
    </row>
    <row r="265" spans="2:4" ht="12.75" customHeight="1" x14ac:dyDescent="0.25">
      <c r="B265" s="239"/>
      <c r="C265" s="237"/>
    </row>
    <row r="266" spans="2:4" ht="12.75" customHeight="1" x14ac:dyDescent="0.25">
      <c r="B266" s="239"/>
      <c r="C266" s="237"/>
    </row>
    <row r="267" spans="2:4" ht="12.75" customHeight="1" x14ac:dyDescent="0.25">
      <c r="B267" s="239"/>
      <c r="C267" s="237"/>
    </row>
    <row r="268" spans="2:4" ht="12.75" customHeight="1" x14ac:dyDescent="0.25">
      <c r="B268" s="239"/>
      <c r="C268" s="237"/>
    </row>
    <row r="269" spans="2:4" ht="12.75" customHeight="1" x14ac:dyDescent="0.25">
      <c r="B269" s="239"/>
      <c r="C269" s="237"/>
    </row>
    <row r="270" spans="2:4" ht="12.75" customHeight="1" x14ac:dyDescent="0.25">
      <c r="B270" s="239"/>
      <c r="C270" s="237"/>
    </row>
    <row r="271" spans="2:4" ht="12.75" customHeight="1" x14ac:dyDescent="0.25">
      <c r="B271" s="239"/>
      <c r="C271" s="237"/>
    </row>
    <row r="272" spans="2:4" ht="12.75" customHeight="1" x14ac:dyDescent="0.25">
      <c r="B272" s="239"/>
      <c r="C272" s="237"/>
    </row>
    <row r="273" spans="2:3" ht="12.75" customHeight="1" x14ac:dyDescent="0.25">
      <c r="B273" s="239"/>
      <c r="C273" s="237"/>
    </row>
    <row r="274" spans="2:3" ht="12.75" customHeight="1" x14ac:dyDescent="0.25">
      <c r="B274" s="239"/>
      <c r="C274" s="237"/>
    </row>
    <row r="275" spans="2:3" ht="12.75" customHeight="1" x14ac:dyDescent="0.25">
      <c r="B275" s="239"/>
      <c r="C275" s="237"/>
    </row>
    <row r="276" spans="2:3" ht="12.75" customHeight="1" x14ac:dyDescent="0.25">
      <c r="B276" s="239"/>
      <c r="C276" s="237"/>
    </row>
    <row r="277" spans="2:3" ht="12.75" customHeight="1" x14ac:dyDescent="0.25">
      <c r="B277" s="239"/>
      <c r="C277" s="237"/>
    </row>
    <row r="278" spans="2:3" ht="12.75" customHeight="1" x14ac:dyDescent="0.25">
      <c r="B278" s="239"/>
      <c r="C278" s="237"/>
    </row>
    <row r="279" spans="2:3" ht="12.75" customHeight="1" x14ac:dyDescent="0.25">
      <c r="B279" s="239"/>
      <c r="C279" s="237"/>
    </row>
    <row r="280" spans="2:3" ht="12.75" customHeight="1" x14ac:dyDescent="0.25">
      <c r="B280" s="239"/>
      <c r="C280" s="237"/>
    </row>
    <row r="281" spans="2:3" ht="12.75" customHeight="1" x14ac:dyDescent="0.25">
      <c r="B281" s="239"/>
      <c r="C281" s="237"/>
    </row>
    <row r="282" spans="2:3" ht="12.75" customHeight="1" x14ac:dyDescent="0.25">
      <c r="B282" s="239"/>
      <c r="C282" s="237"/>
    </row>
    <row r="283" spans="2:3" ht="12.75" customHeight="1" x14ac:dyDescent="0.25">
      <c r="B283" s="239"/>
      <c r="C283" s="237"/>
    </row>
    <row r="284" spans="2:3" ht="12.75" customHeight="1" x14ac:dyDescent="0.25">
      <c r="B284" s="239"/>
      <c r="C284" s="237"/>
    </row>
    <row r="285" spans="2:3" ht="12.75" customHeight="1" x14ac:dyDescent="0.25">
      <c r="B285" s="239"/>
      <c r="C285" s="237"/>
    </row>
    <row r="286" spans="2:3" ht="12.75" customHeight="1" x14ac:dyDescent="0.25">
      <c r="B286" s="239"/>
      <c r="C286" s="237"/>
    </row>
    <row r="287" spans="2:3" ht="12.75" customHeight="1" x14ac:dyDescent="0.25">
      <c r="B287" s="239"/>
      <c r="C287" s="237"/>
    </row>
    <row r="288" spans="2:3" ht="12.75" customHeight="1" x14ac:dyDescent="0.25">
      <c r="B288" s="239"/>
      <c r="C288" s="237"/>
    </row>
    <row r="289" spans="2:3" ht="12.75" customHeight="1" x14ac:dyDescent="0.25">
      <c r="B289" s="239"/>
      <c r="C289" s="237"/>
    </row>
    <row r="290" spans="2:3" ht="12.75" customHeight="1" x14ac:dyDescent="0.25">
      <c r="B290" s="239"/>
      <c r="C290" s="237"/>
    </row>
    <row r="291" spans="2:3" ht="12.75" customHeight="1" x14ac:dyDescent="0.25">
      <c r="B291" s="239"/>
      <c r="C291" s="237"/>
    </row>
    <row r="292" spans="2:3" ht="12.75" customHeight="1" x14ac:dyDescent="0.25">
      <c r="B292" s="239"/>
      <c r="C292" s="237"/>
    </row>
    <row r="293" spans="2:3" ht="12.75" customHeight="1" x14ac:dyDescent="0.25">
      <c r="B293" s="239"/>
      <c r="C293" s="237"/>
    </row>
    <row r="294" spans="2:3" ht="12.75" customHeight="1" x14ac:dyDescent="0.25">
      <c r="B294" s="239"/>
      <c r="C294" s="237"/>
    </row>
    <row r="295" spans="2:3" ht="12.75" customHeight="1" x14ac:dyDescent="0.25">
      <c r="B295" s="239"/>
      <c r="C295" s="237"/>
    </row>
    <row r="296" spans="2:3" ht="12.75" customHeight="1" x14ac:dyDescent="0.25">
      <c r="B296" s="239"/>
      <c r="C296" s="237"/>
    </row>
    <row r="297" spans="2:3" ht="12.75" customHeight="1" x14ac:dyDescent="0.25">
      <c r="B297" s="239"/>
      <c r="C297" s="237"/>
    </row>
  </sheetData>
  <conditionalFormatting sqref="G1:G122 G124:G1048576">
    <cfRule type="expression" dxfId="4" priority="178">
      <formula>IF(ISERROR(MATCH($B1,$G:$G,0)),0,1)</formula>
    </cfRule>
  </conditionalFormatting>
  <conditionalFormatting sqref="G8:G122 G124:G252">
    <cfRule type="expression" dxfId="3" priority="177">
      <formula>IF(ISBLANK(G8),0,1)</formula>
    </cfRule>
  </conditionalFormatting>
  <conditionalFormatting sqref="J1:J120 J174:J1048576 J122:J172">
    <cfRule type="cellIs" dxfId="2" priority="176" operator="notEqual">
      <formula>0</formula>
    </cfRule>
  </conditionalFormatting>
  <conditionalFormatting sqref="G123">
    <cfRule type="expression" dxfId="1" priority="2">
      <formula>IF(ISERROR(MATCH($B123,$G:$G,0)),0,1)</formula>
    </cfRule>
  </conditionalFormatting>
  <conditionalFormatting sqref="G123">
    <cfRule type="expression" dxfId="0" priority="1">
      <formula>IF(ISBLANK(G123),0,1)</formula>
    </cfRule>
  </conditionalFormatting>
  <pageMargins left="0.70866141732283472" right="0.70866141732283472" top="0.78740157480314965" bottom="0.78740157480314965" header="0.31496062992125984" footer="0.31496062992125984"/>
  <pageSetup paperSize="9" scale="54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rgb="FF002D64"/>
  </sheetPr>
  <dimension ref="A1:G16"/>
  <sheetViews>
    <sheetView showGridLines="0" zoomScale="90" zoomScaleNormal="90" workbookViewId="0"/>
  </sheetViews>
  <sheetFormatPr baseColWidth="10" defaultColWidth="8.85546875" defaultRowHeight="12.75" customHeight="1" x14ac:dyDescent="0.25"/>
  <cols>
    <col min="1" max="1" width="5.7109375" customWidth="1"/>
    <col min="2" max="2" width="5.140625" customWidth="1"/>
    <col min="3" max="3" width="32.140625" bestFit="1" customWidth="1"/>
    <col min="4" max="4" width="64.140625" customWidth="1"/>
    <col min="5" max="5" width="63.140625" customWidth="1"/>
    <col min="6" max="6" width="47.85546875" customWidth="1"/>
    <col min="7" max="7" width="15.5703125" bestFit="1" customWidth="1"/>
  </cols>
  <sheetData>
    <row r="1" spans="1:7" ht="20.100000000000001" customHeight="1" x14ac:dyDescent="0.25">
      <c r="A1" s="8">
        <v>7</v>
      </c>
      <c r="B1" s="304" t="str">
        <f>IF(Language="DE", list_of_sheets!D13, IF(Language="FR", list_of_sheets!E13,list_of_sheets!F13))</f>
        <v>Liste der Arbeitsblätter</v>
      </c>
    </row>
    <row r="2" spans="1:7" ht="14.25" customHeight="1" x14ac:dyDescent="0.25">
      <c r="A2" s="33"/>
      <c r="B2" s="10"/>
      <c r="C2" s="23"/>
      <c r="D2" s="23"/>
      <c r="E2" s="23"/>
      <c r="F2" s="23"/>
      <c r="G2" s="23"/>
    </row>
    <row r="3" spans="1:7" ht="14.25" customHeight="1" x14ac:dyDescent="0.25">
      <c r="A3" s="33"/>
      <c r="B3" s="10"/>
      <c r="C3" s="23"/>
      <c r="D3" s="23"/>
      <c r="E3" s="23"/>
      <c r="F3" s="23"/>
      <c r="G3" s="23"/>
    </row>
    <row r="4" spans="1:7" ht="14.25" customHeight="1" x14ac:dyDescent="0.25">
      <c r="A4" s="33"/>
      <c r="B4" s="10"/>
      <c r="C4" s="23"/>
      <c r="D4" s="23"/>
      <c r="E4" s="23"/>
      <c r="F4" s="23"/>
      <c r="G4" s="23"/>
    </row>
    <row r="5" spans="1:7" ht="14.25" customHeight="1" x14ac:dyDescent="0.25">
      <c r="A5" s="23"/>
      <c r="B5" s="23"/>
      <c r="C5" s="23"/>
      <c r="D5" s="23"/>
      <c r="E5" s="23"/>
      <c r="F5" s="23"/>
      <c r="G5" s="23"/>
    </row>
    <row r="6" spans="1:7" ht="14.25" customHeight="1" x14ac:dyDescent="0.25">
      <c r="A6" s="23"/>
      <c r="B6" s="35" t="s">
        <v>1</v>
      </c>
      <c r="C6" s="35" t="s">
        <v>2</v>
      </c>
      <c r="D6" s="35" t="s">
        <v>118</v>
      </c>
      <c r="E6" s="35" t="s">
        <v>119</v>
      </c>
      <c r="F6" s="35" t="s">
        <v>3</v>
      </c>
      <c r="G6" s="35" t="s">
        <v>1117</v>
      </c>
    </row>
    <row r="7" spans="1:7" ht="14.25" customHeight="1" x14ac:dyDescent="0.25">
      <c r="A7" s="23"/>
      <c r="B7" s="245">
        <f>ROW()-6</f>
        <v>1</v>
      </c>
      <c r="C7" s="24" t="s">
        <v>4</v>
      </c>
      <c r="D7" s="24" t="s">
        <v>1444</v>
      </c>
      <c r="E7" s="24"/>
      <c r="F7" s="24" t="s">
        <v>1444</v>
      </c>
      <c r="G7" s="311"/>
    </row>
    <row r="8" spans="1:7" ht="14.25" customHeight="1" x14ac:dyDescent="0.25">
      <c r="A8" s="23"/>
      <c r="B8" s="6">
        <f t="shared" ref="B8:B12" si="0">ROW()-6</f>
        <v>2</v>
      </c>
      <c r="C8" s="25" t="s">
        <v>5</v>
      </c>
      <c r="D8" s="25" t="s">
        <v>7</v>
      </c>
      <c r="E8" s="25" t="s">
        <v>8</v>
      </c>
      <c r="F8" s="25" t="s">
        <v>6</v>
      </c>
      <c r="G8" s="312"/>
    </row>
    <row r="9" spans="1:7" ht="14.25" customHeight="1" x14ac:dyDescent="0.25">
      <c r="A9" s="23"/>
      <c r="B9" s="245">
        <f t="shared" si="0"/>
        <v>3</v>
      </c>
      <c r="C9" s="240" t="s">
        <v>1445</v>
      </c>
      <c r="D9" s="25" t="s">
        <v>1505</v>
      </c>
      <c r="E9" s="25"/>
      <c r="F9" s="25" t="s">
        <v>1506</v>
      </c>
      <c r="G9" s="312" t="s">
        <v>1101</v>
      </c>
    </row>
    <row r="10" spans="1:7" ht="14.25" customHeight="1" x14ac:dyDescent="0.25">
      <c r="A10" s="23"/>
      <c r="B10" s="245">
        <f t="shared" si="0"/>
        <v>4</v>
      </c>
      <c r="C10" s="331" t="s">
        <v>1446</v>
      </c>
      <c r="D10" s="240" t="s">
        <v>122</v>
      </c>
      <c r="E10" s="240" t="s">
        <v>722</v>
      </c>
      <c r="F10" s="240" t="s">
        <v>723</v>
      </c>
      <c r="G10" s="312" t="s">
        <v>1102</v>
      </c>
    </row>
    <row r="11" spans="1:7" ht="14.25" customHeight="1" x14ac:dyDescent="0.25">
      <c r="A11" s="23"/>
      <c r="B11" s="7">
        <f t="shared" si="0"/>
        <v>5</v>
      </c>
      <c r="C11" s="240" t="s">
        <v>724</v>
      </c>
      <c r="D11" s="409" t="s">
        <v>1447</v>
      </c>
      <c r="E11" s="409" t="s">
        <v>1448</v>
      </c>
      <c r="F11" s="409" t="s">
        <v>1449</v>
      </c>
      <c r="G11" s="312"/>
    </row>
    <row r="12" spans="1:7" ht="14.25" customHeight="1" x14ac:dyDescent="0.25">
      <c r="A12" s="23"/>
      <c r="B12" s="245">
        <f t="shared" si="0"/>
        <v>6</v>
      </c>
      <c r="C12" s="240" t="s">
        <v>1452</v>
      </c>
      <c r="D12" s="563" t="s">
        <v>1560</v>
      </c>
      <c r="E12" s="563" t="s">
        <v>1561</v>
      </c>
      <c r="F12" s="563" t="s">
        <v>1562</v>
      </c>
      <c r="G12" s="314" t="s">
        <v>1120</v>
      </c>
    </row>
    <row r="13" spans="1:7" s="308" customFormat="1" ht="14.25" customHeight="1" x14ac:dyDescent="0.25">
      <c r="B13" s="310">
        <v>7</v>
      </c>
      <c r="C13" s="312" t="s">
        <v>9</v>
      </c>
      <c r="D13" s="25" t="s">
        <v>10</v>
      </c>
      <c r="E13" s="25" t="s">
        <v>11</v>
      </c>
      <c r="F13" s="25" t="s">
        <v>0</v>
      </c>
      <c r="G13" s="312" t="s">
        <v>1100</v>
      </c>
    </row>
    <row r="14" spans="1:7" s="308" customFormat="1" ht="14.25" customHeight="1" x14ac:dyDescent="0.25">
      <c r="B14" s="310">
        <v>8</v>
      </c>
      <c r="C14" s="312" t="s">
        <v>12</v>
      </c>
      <c r="D14" s="25" t="s">
        <v>776</v>
      </c>
      <c r="E14" s="25" t="s">
        <v>777</v>
      </c>
      <c r="F14" s="25" t="s">
        <v>778</v>
      </c>
      <c r="G14" s="312"/>
    </row>
    <row r="15" spans="1:7" ht="12.75" customHeight="1" x14ac:dyDescent="0.25">
      <c r="B15" s="2"/>
      <c r="C15" s="2"/>
      <c r="D15" s="2"/>
      <c r="E15" s="2"/>
      <c r="F15" s="2"/>
    </row>
    <row r="16" spans="1:7" ht="12.75" customHeight="1" x14ac:dyDescent="0.25">
      <c r="B16" s="2"/>
      <c r="C16" s="2"/>
      <c r="D16" s="2"/>
      <c r="E16" s="2"/>
      <c r="F16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002D64"/>
    <pageSetUpPr fitToPage="1"/>
  </sheetPr>
  <dimension ref="A1:H352"/>
  <sheetViews>
    <sheetView showGridLines="0" zoomScale="90" zoomScaleNormal="90" workbookViewId="0"/>
  </sheetViews>
  <sheetFormatPr baseColWidth="10" defaultColWidth="8.85546875" defaultRowHeight="12.75" customHeight="1" x14ac:dyDescent="0.25"/>
  <cols>
    <col min="1" max="1" width="5.7109375" style="249" customWidth="1"/>
    <col min="2" max="2" width="10.5703125" style="249" customWidth="1"/>
    <col min="3" max="3" width="108" style="249" customWidth="1"/>
    <col min="4" max="4" width="65.28515625" style="249" bestFit="1" customWidth="1"/>
    <col min="5" max="5" width="66" style="249" customWidth="1"/>
    <col min="6" max="7" width="8.85546875" style="250"/>
    <col min="8" max="16384" width="8.85546875" style="249"/>
  </cols>
  <sheetData>
    <row r="1" spans="1:8" ht="20.100000000000001" customHeight="1" x14ac:dyDescent="0.25">
      <c r="A1" s="303">
        <v>8</v>
      </c>
      <c r="B1" s="304" t="str">
        <f>IF(Language="DE", list_of_sheets!D14, IF(Language="FR", list_of_sheets!E14,list_of_sheets!F14))</f>
        <v>Glossar Deutsch - Französisch - Englisch</v>
      </c>
    </row>
    <row r="2" spans="1:8" s="252" customFormat="1" ht="14.25" customHeight="1" x14ac:dyDescent="0.25">
      <c r="A2" s="251"/>
      <c r="B2" s="251"/>
      <c r="C2" s="251"/>
      <c r="D2" s="251"/>
      <c r="E2" s="251"/>
      <c r="F2" s="251"/>
      <c r="G2" s="251"/>
      <c r="H2" s="251"/>
    </row>
    <row r="3" spans="1:8" s="252" customFormat="1" ht="14.25" customHeight="1" x14ac:dyDescent="0.25">
      <c r="A3" s="251"/>
      <c r="B3" s="251"/>
      <c r="C3" s="251"/>
      <c r="D3" s="251"/>
      <c r="E3" s="251"/>
      <c r="F3" s="251"/>
      <c r="G3" s="251"/>
      <c r="H3" s="251"/>
    </row>
    <row r="4" spans="1:8" s="252" customFormat="1" ht="14.25" customHeight="1" x14ac:dyDescent="0.25">
      <c r="A4" s="251"/>
      <c r="B4" s="251"/>
      <c r="C4" s="253" t="s">
        <v>27</v>
      </c>
      <c r="D4" s="253" t="s">
        <v>28</v>
      </c>
      <c r="E4" s="253" t="s">
        <v>26</v>
      </c>
      <c r="F4" s="251"/>
      <c r="G4" s="251"/>
      <c r="H4" s="251"/>
    </row>
    <row r="5" spans="1:8" s="252" customFormat="1" ht="14.25" customHeight="1" x14ac:dyDescent="0.25">
      <c r="A5" s="251"/>
      <c r="B5" s="251"/>
      <c r="C5" s="254">
        <v>1</v>
      </c>
      <c r="D5" s="254">
        <v>2</v>
      </c>
      <c r="E5" s="254">
        <v>3</v>
      </c>
      <c r="F5" s="251"/>
      <c r="G5" s="251"/>
      <c r="H5" s="251"/>
    </row>
    <row r="6" spans="1:8" s="252" customFormat="1" ht="14.25" customHeight="1" x14ac:dyDescent="0.25">
      <c r="A6" s="251"/>
      <c r="B6" s="251"/>
      <c r="C6" s="251"/>
      <c r="D6" s="251"/>
      <c r="E6" s="251"/>
      <c r="F6" s="251"/>
      <c r="G6" s="251"/>
      <c r="H6" s="251"/>
    </row>
    <row r="7" spans="1:8" s="252" customFormat="1" ht="14.25" customHeight="1" x14ac:dyDescent="0.25">
      <c r="A7" s="255"/>
      <c r="B7" s="256" t="s">
        <v>81</v>
      </c>
      <c r="C7" s="257" t="str">
        <f>list_of_sheets!D7</f>
        <v>SST-Participation-Template</v>
      </c>
      <c r="D7" s="256">
        <f>list_of_sheets!E7</f>
        <v>0</v>
      </c>
      <c r="E7" s="256" t="str">
        <f>list_of_sheets!F7</f>
        <v>SST-Participation-Template</v>
      </c>
      <c r="F7" s="251"/>
      <c r="G7" s="251"/>
      <c r="H7" s="251"/>
    </row>
    <row r="8" spans="1:8" s="252" customFormat="1" ht="14.25" customHeight="1" x14ac:dyDescent="0.25">
      <c r="A8" s="251"/>
      <c r="B8" s="251"/>
      <c r="C8" s="251"/>
      <c r="D8" s="251"/>
      <c r="E8" s="251"/>
      <c r="F8" s="251"/>
      <c r="G8" s="251"/>
      <c r="H8" s="251"/>
    </row>
    <row r="9" spans="1:8" s="252" customFormat="1" ht="14.25" customHeight="1" x14ac:dyDescent="0.25">
      <c r="A9" s="251"/>
      <c r="B9" s="247" t="s">
        <v>89</v>
      </c>
      <c r="C9" s="247" t="s">
        <v>37</v>
      </c>
      <c r="D9" s="247" t="s">
        <v>49</v>
      </c>
      <c r="E9" s="247" t="s">
        <v>50</v>
      </c>
      <c r="F9" s="251"/>
      <c r="G9" s="251"/>
      <c r="H9" s="251"/>
    </row>
    <row r="10" spans="1:8" s="252" customFormat="1" ht="14.25" customHeight="1" x14ac:dyDescent="0.25">
      <c r="A10" s="251"/>
      <c r="B10" s="258" t="s">
        <v>82</v>
      </c>
      <c r="C10" s="258" t="s">
        <v>726</v>
      </c>
      <c r="D10" s="258" t="s">
        <v>727</v>
      </c>
      <c r="E10" s="258" t="s">
        <v>116</v>
      </c>
      <c r="F10" s="251"/>
      <c r="G10" s="251"/>
      <c r="H10" s="251"/>
    </row>
    <row r="11" spans="1:8" s="252" customFormat="1" ht="14.25" customHeight="1" x14ac:dyDescent="0.25">
      <c r="A11" s="251"/>
      <c r="B11" s="258"/>
      <c r="C11" s="258"/>
      <c r="D11" s="258"/>
      <c r="E11" s="258"/>
      <c r="F11" s="251"/>
      <c r="G11" s="251"/>
      <c r="H11" s="251"/>
    </row>
    <row r="12" spans="1:8" s="252" customFormat="1" ht="14.25" customHeight="1" x14ac:dyDescent="0.25">
      <c r="A12" s="251"/>
      <c r="B12" s="258" t="s">
        <v>83</v>
      </c>
      <c r="C12" s="247" t="s">
        <v>29</v>
      </c>
      <c r="D12" s="247" t="s">
        <v>44</v>
      </c>
      <c r="E12" s="247" t="s">
        <v>41</v>
      </c>
      <c r="F12" s="251"/>
      <c r="G12" s="251"/>
      <c r="H12" s="251"/>
    </row>
    <row r="13" spans="1:8" s="252" customFormat="1" ht="14.25" customHeight="1" x14ac:dyDescent="0.25">
      <c r="A13" s="251"/>
      <c r="B13" s="258" t="s">
        <v>84</v>
      </c>
      <c r="C13" s="247" t="s">
        <v>34</v>
      </c>
      <c r="D13" s="247" t="s">
        <v>73</v>
      </c>
      <c r="E13" s="259" t="s">
        <v>74</v>
      </c>
      <c r="F13" s="251"/>
      <c r="G13" s="251"/>
      <c r="H13" s="251"/>
    </row>
    <row r="14" spans="1:8" s="252" customFormat="1" ht="14.25" customHeight="1" x14ac:dyDescent="0.25">
      <c r="A14" s="251"/>
      <c r="B14" s="247" t="s">
        <v>85</v>
      </c>
      <c r="C14" s="247" t="s">
        <v>35</v>
      </c>
      <c r="D14" s="247" t="s">
        <v>45</v>
      </c>
      <c r="E14" s="247" t="s">
        <v>42</v>
      </c>
      <c r="F14" s="251"/>
      <c r="G14" s="251"/>
      <c r="H14" s="251"/>
    </row>
    <row r="15" spans="1:8" s="252" customFormat="1" ht="14.25" customHeight="1" x14ac:dyDescent="0.25">
      <c r="A15" s="251"/>
      <c r="B15" s="258" t="s">
        <v>86</v>
      </c>
      <c r="C15" s="260" t="s">
        <v>740</v>
      </c>
      <c r="D15" s="260" t="s">
        <v>741</v>
      </c>
      <c r="E15" s="260" t="s">
        <v>742</v>
      </c>
      <c r="F15" s="251"/>
      <c r="G15" s="251"/>
      <c r="H15" s="251"/>
    </row>
    <row r="16" spans="1:8" s="252" customFormat="1" ht="14.25" customHeight="1" x14ac:dyDescent="0.25">
      <c r="A16" s="251"/>
      <c r="B16" s="258" t="s">
        <v>87</v>
      </c>
      <c r="C16" s="336" t="s">
        <v>1288</v>
      </c>
      <c r="D16" s="336" t="s">
        <v>1288</v>
      </c>
      <c r="E16" s="336" t="s">
        <v>1288</v>
      </c>
      <c r="F16" s="251"/>
      <c r="G16" s="251"/>
      <c r="H16" s="251"/>
    </row>
    <row r="17" spans="1:8" s="252" customFormat="1" ht="14.25" customHeight="1" x14ac:dyDescent="0.25">
      <c r="A17" s="251"/>
      <c r="B17" s="258"/>
      <c r="C17" s="260"/>
      <c r="D17" s="260"/>
      <c r="E17" s="260"/>
      <c r="F17" s="251"/>
      <c r="G17" s="251"/>
      <c r="H17" s="251"/>
    </row>
    <row r="18" spans="1:8" s="252" customFormat="1" ht="14.25" customHeight="1" x14ac:dyDescent="0.25">
      <c r="A18" s="251"/>
      <c r="B18" s="258" t="s">
        <v>88</v>
      </c>
      <c r="C18" s="247" t="s">
        <v>39</v>
      </c>
      <c r="D18" s="247" t="s">
        <v>52</v>
      </c>
      <c r="E18" s="247" t="s">
        <v>51</v>
      </c>
      <c r="F18" s="251"/>
      <c r="G18" s="251"/>
      <c r="H18" s="251"/>
    </row>
    <row r="19" spans="1:8" s="252" customFormat="1" ht="14.25" customHeight="1" x14ac:dyDescent="0.25">
      <c r="A19" s="251"/>
      <c r="B19" s="261" t="s">
        <v>111</v>
      </c>
      <c r="C19" s="330" t="s">
        <v>1136</v>
      </c>
      <c r="D19" s="330" t="s">
        <v>1137</v>
      </c>
      <c r="E19" s="330" t="s">
        <v>1138</v>
      </c>
      <c r="F19" s="251"/>
      <c r="G19" s="251"/>
      <c r="H19" s="251"/>
    </row>
    <row r="20" spans="1:8" s="252" customFormat="1" ht="14.25" customHeight="1" x14ac:dyDescent="0.25">
      <c r="A20" s="251"/>
      <c r="B20" s="261" t="s">
        <v>112</v>
      </c>
      <c r="C20" s="258" t="s">
        <v>719</v>
      </c>
      <c r="D20" s="258" t="s">
        <v>720</v>
      </c>
      <c r="E20" s="258" t="s">
        <v>721</v>
      </c>
      <c r="F20" s="251"/>
      <c r="G20" s="251"/>
      <c r="H20" s="251"/>
    </row>
    <row r="21" spans="1:8" s="252" customFormat="1" ht="14.25" customHeight="1" x14ac:dyDescent="0.25">
      <c r="A21" s="251"/>
      <c r="B21" s="258" t="s">
        <v>113</v>
      </c>
      <c r="C21" s="261" t="s">
        <v>770</v>
      </c>
      <c r="D21" s="261" t="s">
        <v>771</v>
      </c>
      <c r="E21" s="261" t="s">
        <v>772</v>
      </c>
      <c r="F21" s="251"/>
      <c r="G21" s="251"/>
      <c r="H21" s="251"/>
    </row>
    <row r="22" spans="1:8" s="252" customFormat="1" ht="14.25" customHeight="1" x14ac:dyDescent="0.25">
      <c r="A22" s="251"/>
      <c r="B22" s="261" t="s">
        <v>114</v>
      </c>
      <c r="C22" s="247" t="s">
        <v>76</v>
      </c>
      <c r="D22" s="247" t="s">
        <v>79</v>
      </c>
      <c r="E22" s="247" t="s">
        <v>77</v>
      </c>
      <c r="F22" s="251"/>
      <c r="G22" s="251"/>
      <c r="H22" s="251"/>
    </row>
    <row r="23" spans="1:8" s="252" customFormat="1" ht="14.25" customHeight="1" x14ac:dyDescent="0.25">
      <c r="A23" s="251"/>
      <c r="B23" s="258" t="s">
        <v>115</v>
      </c>
      <c r="C23" s="247" t="s">
        <v>47</v>
      </c>
      <c r="D23" s="247" t="s">
        <v>48</v>
      </c>
      <c r="E23" s="247" t="s">
        <v>40</v>
      </c>
      <c r="F23" s="251"/>
      <c r="G23" s="251"/>
      <c r="H23" s="251"/>
    </row>
    <row r="24" spans="1:8" s="252" customFormat="1" ht="14.25" customHeight="1" x14ac:dyDescent="0.25">
      <c r="A24" s="251"/>
      <c r="B24" s="258" t="s">
        <v>718</v>
      </c>
      <c r="C24" s="313" t="s">
        <v>1450</v>
      </c>
      <c r="D24" s="313"/>
      <c r="E24" s="313" t="s">
        <v>1451</v>
      </c>
      <c r="F24" s="251"/>
      <c r="G24" s="251"/>
      <c r="H24" s="251"/>
    </row>
    <row r="25" spans="1:8" s="252" customFormat="1" ht="14.25" customHeight="1" x14ac:dyDescent="0.25">
      <c r="A25" s="251"/>
      <c r="B25" s="261" t="s">
        <v>725</v>
      </c>
      <c r="C25" s="247" t="s">
        <v>30</v>
      </c>
      <c r="D25" s="247" t="s">
        <v>46</v>
      </c>
      <c r="E25" s="247" t="s">
        <v>43</v>
      </c>
      <c r="F25" s="251"/>
      <c r="G25" s="251"/>
      <c r="H25" s="251"/>
    </row>
    <row r="26" spans="1:8" s="252" customFormat="1" ht="14.25" customHeight="1" x14ac:dyDescent="0.25">
      <c r="A26" s="251"/>
      <c r="B26" s="258" t="s">
        <v>743</v>
      </c>
      <c r="C26" s="247" t="s">
        <v>75</v>
      </c>
      <c r="D26" s="247" t="s">
        <v>106</v>
      </c>
      <c r="E26" s="247" t="s">
        <v>103</v>
      </c>
      <c r="F26" s="251"/>
      <c r="G26" s="251"/>
      <c r="H26" s="251"/>
    </row>
    <row r="27" spans="1:8" s="252" customFormat="1" ht="14.25" customHeight="1" x14ac:dyDescent="0.25">
      <c r="A27" s="251"/>
      <c r="B27" s="258" t="s">
        <v>744</v>
      </c>
      <c r="C27" s="247" t="s">
        <v>80</v>
      </c>
      <c r="D27" s="247" t="s">
        <v>107</v>
      </c>
      <c r="E27" s="247" t="s">
        <v>104</v>
      </c>
      <c r="F27" s="251"/>
      <c r="G27" s="251"/>
      <c r="H27" s="251"/>
    </row>
    <row r="28" spans="1:8" s="252" customFormat="1" ht="14.25" customHeight="1" x14ac:dyDescent="0.25">
      <c r="A28" s="251"/>
      <c r="B28" s="261" t="s">
        <v>745</v>
      </c>
      <c r="C28" s="247" t="s">
        <v>78</v>
      </c>
      <c r="D28" s="247" t="s">
        <v>108</v>
      </c>
      <c r="E28" s="247" t="s">
        <v>105</v>
      </c>
      <c r="F28" s="251"/>
      <c r="G28" s="251"/>
      <c r="H28" s="251"/>
    </row>
    <row r="29" spans="1:8" s="252" customFormat="1" ht="14.25" customHeight="1" x14ac:dyDescent="0.25">
      <c r="A29" s="251"/>
      <c r="B29" s="313" t="s">
        <v>1118</v>
      </c>
      <c r="C29" s="547" t="s">
        <v>1531</v>
      </c>
      <c r="D29" s="547"/>
      <c r="E29" s="547" t="s">
        <v>1532</v>
      </c>
      <c r="F29" s="251"/>
      <c r="G29" s="251"/>
      <c r="H29" s="251"/>
    </row>
    <row r="30" spans="1:8" s="252" customFormat="1" ht="14.25" customHeight="1" x14ac:dyDescent="0.25">
      <c r="A30" s="251"/>
      <c r="B30" s="362" t="s">
        <v>1119</v>
      </c>
      <c r="C30" s="332" t="s">
        <v>1143</v>
      </c>
      <c r="D30" s="247" t="s">
        <v>110</v>
      </c>
      <c r="E30" s="247" t="s">
        <v>109</v>
      </c>
      <c r="F30" s="251"/>
      <c r="G30" s="251"/>
      <c r="H30" s="251"/>
    </row>
    <row r="31" spans="1:8" ht="14.25" customHeight="1" x14ac:dyDescent="0.25">
      <c r="A31" s="251"/>
      <c r="B31" s="251"/>
      <c r="C31" s="251"/>
      <c r="D31" s="251"/>
      <c r="E31" s="251"/>
      <c r="F31" s="251"/>
      <c r="G31" s="251"/>
      <c r="H31" s="251"/>
    </row>
    <row r="32" spans="1:8" s="252" customFormat="1" ht="14.25" customHeight="1" x14ac:dyDescent="0.25">
      <c r="A32" s="251"/>
      <c r="B32" s="251"/>
      <c r="C32" s="262"/>
      <c r="D32" s="262"/>
      <c r="E32" s="262"/>
      <c r="F32" s="251"/>
      <c r="G32" s="251"/>
      <c r="H32" s="251"/>
    </row>
    <row r="33" spans="1:8" s="252" customFormat="1" ht="14.25" customHeight="1" x14ac:dyDescent="0.25">
      <c r="A33" s="251"/>
      <c r="B33" s="256" t="s">
        <v>90</v>
      </c>
      <c r="C33" s="257" t="s">
        <v>64</v>
      </c>
      <c r="D33" s="256" t="s">
        <v>1059</v>
      </c>
      <c r="E33" s="256" t="s">
        <v>65</v>
      </c>
      <c r="F33" s="251"/>
      <c r="G33" s="251"/>
      <c r="H33" s="251"/>
    </row>
    <row r="34" spans="1:8" s="252" customFormat="1" ht="14.25" customHeight="1" x14ac:dyDescent="0.25">
      <c r="A34" s="251"/>
      <c r="B34" s="251"/>
      <c r="C34" s="262"/>
      <c r="D34" s="262"/>
      <c r="E34" s="262"/>
      <c r="F34" s="251"/>
      <c r="G34" s="251"/>
      <c r="H34" s="251"/>
    </row>
    <row r="35" spans="1:8" s="252" customFormat="1" ht="14.25" customHeight="1" x14ac:dyDescent="0.25">
      <c r="A35" s="251"/>
      <c r="B35" s="247" t="s">
        <v>92</v>
      </c>
      <c r="C35" s="247" t="s">
        <v>55</v>
      </c>
      <c r="D35" s="247" t="s">
        <v>56</v>
      </c>
      <c r="E35" s="247" t="s">
        <v>31</v>
      </c>
      <c r="F35" s="251"/>
      <c r="G35" s="251"/>
      <c r="H35" s="251"/>
    </row>
    <row r="36" spans="1:8" s="252" customFormat="1" ht="14.25" customHeight="1" x14ac:dyDescent="0.25">
      <c r="A36" s="251"/>
      <c r="B36" s="247" t="s">
        <v>93</v>
      </c>
      <c r="C36" s="247" t="s">
        <v>57</v>
      </c>
      <c r="D36" s="247" t="s">
        <v>58</v>
      </c>
      <c r="E36" s="247" t="s">
        <v>16</v>
      </c>
      <c r="F36" s="251"/>
      <c r="G36" s="251"/>
      <c r="H36" s="251"/>
    </row>
    <row r="37" spans="1:8" s="252" customFormat="1" ht="14.25" customHeight="1" x14ac:dyDescent="0.25">
      <c r="A37" s="251"/>
      <c r="B37" s="247" t="s">
        <v>94</v>
      </c>
      <c r="C37" s="247" t="s">
        <v>66</v>
      </c>
      <c r="D37" s="247" t="s">
        <v>14</v>
      </c>
      <c r="E37" s="247" t="s">
        <v>14</v>
      </c>
      <c r="F37" s="251"/>
      <c r="G37" s="251"/>
      <c r="H37" s="251"/>
    </row>
    <row r="38" spans="1:8" s="252" customFormat="1" ht="14.25" customHeight="1" x14ac:dyDescent="0.25">
      <c r="A38" s="251"/>
      <c r="B38" s="247" t="s">
        <v>95</v>
      </c>
      <c r="C38" s="248" t="s">
        <v>768</v>
      </c>
      <c r="D38" s="248" t="s">
        <v>769</v>
      </c>
      <c r="E38" s="248" t="s">
        <v>766</v>
      </c>
      <c r="F38" s="251"/>
      <c r="G38" s="251"/>
      <c r="H38" s="251"/>
    </row>
    <row r="39" spans="1:8" s="252" customFormat="1" ht="14.25" customHeight="1" x14ac:dyDescent="0.25">
      <c r="A39" s="251"/>
      <c r="B39" s="247" t="s">
        <v>96</v>
      </c>
      <c r="C39" s="247" t="s">
        <v>59</v>
      </c>
      <c r="D39" s="247" t="s">
        <v>60</v>
      </c>
      <c r="E39" s="247" t="s">
        <v>21</v>
      </c>
      <c r="F39" s="251"/>
      <c r="G39" s="251"/>
      <c r="H39" s="251"/>
    </row>
    <row r="40" spans="1:8" s="252" customFormat="1" ht="14.25" customHeight="1" x14ac:dyDescent="0.25">
      <c r="A40" s="251"/>
      <c r="B40" s="247" t="s">
        <v>97</v>
      </c>
      <c r="C40" s="247" t="s">
        <v>15</v>
      </c>
      <c r="D40" s="247" t="s">
        <v>61</v>
      </c>
      <c r="E40" s="247" t="s">
        <v>15</v>
      </c>
      <c r="F40" s="251"/>
      <c r="G40" s="251"/>
      <c r="H40" s="251"/>
    </row>
    <row r="41" spans="1:8" s="252" customFormat="1" ht="14.25" customHeight="1" x14ac:dyDescent="0.25">
      <c r="A41" s="251"/>
      <c r="B41" s="247" t="s">
        <v>98</v>
      </c>
      <c r="C41" s="247" t="s">
        <v>62</v>
      </c>
      <c r="D41" s="247" t="s">
        <v>63</v>
      </c>
      <c r="E41" s="247" t="s">
        <v>63</v>
      </c>
      <c r="F41" s="251"/>
      <c r="G41" s="251"/>
      <c r="H41" s="251"/>
    </row>
    <row r="42" spans="1:8" s="252" customFormat="1" ht="14.25" customHeight="1" x14ac:dyDescent="0.25">
      <c r="A42" s="251"/>
      <c r="B42" s="248" t="s">
        <v>767</v>
      </c>
      <c r="C42" s="247" t="s">
        <v>68</v>
      </c>
      <c r="D42" s="247" t="s">
        <v>69</v>
      </c>
      <c r="E42" s="247" t="s">
        <v>67</v>
      </c>
      <c r="F42" s="251"/>
      <c r="G42" s="251"/>
      <c r="H42" s="251"/>
    </row>
    <row r="43" spans="1:8" s="252" customFormat="1" ht="14.25" customHeight="1" x14ac:dyDescent="0.25">
      <c r="A43" s="251"/>
      <c r="B43" s="263"/>
      <c r="C43" s="262"/>
      <c r="D43" s="262"/>
      <c r="E43" s="262"/>
      <c r="F43" s="251"/>
      <c r="G43" s="251"/>
      <c r="H43" s="251"/>
    </row>
    <row r="44" spans="1:8" s="252" customFormat="1" ht="14.25" customHeight="1" x14ac:dyDescent="0.25">
      <c r="A44" s="251"/>
      <c r="B44" s="251"/>
      <c r="C44" s="251"/>
      <c r="D44" s="251"/>
      <c r="E44" s="251"/>
      <c r="F44" s="251"/>
      <c r="G44" s="251"/>
      <c r="H44" s="251"/>
    </row>
    <row r="45" spans="1:8" s="252" customFormat="1" ht="14.25" customHeight="1" x14ac:dyDescent="0.25">
      <c r="A45" s="251"/>
      <c r="B45" s="256" t="s">
        <v>790</v>
      </c>
      <c r="C45" s="256" t="str">
        <f>list_of_sheets!D9</f>
        <v>Inputs für die SST-Templates</v>
      </c>
      <c r="D45" s="256">
        <f>list_of_sheets!E9</f>
        <v>0</v>
      </c>
      <c r="E45" s="256" t="str">
        <f>list_of_sheets!F9</f>
        <v>Inputs for the SST-Templates</v>
      </c>
      <c r="F45" s="251"/>
      <c r="G45" s="251"/>
      <c r="H45" s="251"/>
    </row>
    <row r="46" spans="1:8" s="252" customFormat="1" ht="14.25" customHeight="1" x14ac:dyDescent="0.25">
      <c r="A46" s="251"/>
      <c r="B46" s="251"/>
      <c r="C46" s="251"/>
      <c r="D46" s="251"/>
      <c r="E46" s="251"/>
      <c r="F46" s="251"/>
      <c r="G46" s="251"/>
      <c r="H46" s="251"/>
    </row>
    <row r="47" spans="1:8" s="252" customFormat="1" ht="14.25" customHeight="1" x14ac:dyDescent="0.25">
      <c r="A47" s="251"/>
      <c r="B47" s="273" t="s">
        <v>791</v>
      </c>
      <c r="C47" s="247" t="s">
        <v>53</v>
      </c>
      <c r="D47" s="247"/>
      <c r="E47" s="291" t="s">
        <v>1460</v>
      </c>
      <c r="F47" s="251"/>
      <c r="G47" s="251"/>
      <c r="H47" s="251"/>
    </row>
    <row r="48" spans="1:8" s="252" customFormat="1" ht="14.25" customHeight="1" x14ac:dyDescent="0.25">
      <c r="A48" s="251"/>
      <c r="B48" s="273" t="s">
        <v>792</v>
      </c>
      <c r="C48" s="247" t="s">
        <v>1461</v>
      </c>
      <c r="D48" s="247"/>
      <c r="E48" s="291" t="s">
        <v>1462</v>
      </c>
      <c r="F48" s="251"/>
      <c r="G48" s="251"/>
      <c r="H48" s="251"/>
    </row>
    <row r="49" spans="1:8" s="252" customFormat="1" ht="14.25" customHeight="1" x14ac:dyDescent="0.25">
      <c r="A49" s="251"/>
      <c r="B49" s="273" t="s">
        <v>793</v>
      </c>
      <c r="C49" s="554" t="s">
        <v>1545</v>
      </c>
      <c r="D49" s="246"/>
      <c r="E49" s="555" t="s">
        <v>1546</v>
      </c>
      <c r="F49" s="251"/>
      <c r="G49" s="408"/>
      <c r="H49" s="251"/>
    </row>
    <row r="50" spans="1:8" s="252" customFormat="1" ht="14.25" customHeight="1" x14ac:dyDescent="0.25">
      <c r="A50" s="251"/>
      <c r="B50" s="273" t="s">
        <v>794</v>
      </c>
      <c r="C50" s="246" t="s">
        <v>773</v>
      </c>
      <c r="D50" s="246"/>
      <c r="E50" s="291" t="s">
        <v>1103</v>
      </c>
      <c r="F50" s="251"/>
      <c r="G50" s="251"/>
      <c r="H50" s="251"/>
    </row>
    <row r="51" spans="1:8" s="252" customFormat="1" ht="14.25" customHeight="1" x14ac:dyDescent="0.25">
      <c r="A51" s="251"/>
      <c r="B51" s="273" t="s">
        <v>795</v>
      </c>
      <c r="C51" s="406" t="s">
        <v>1463</v>
      </c>
      <c r="D51" s="406"/>
      <c r="E51" s="406" t="s">
        <v>1464</v>
      </c>
      <c r="G51" s="251"/>
      <c r="H51" s="251"/>
    </row>
    <row r="52" spans="1:8" s="252" customFormat="1" ht="14.25" customHeight="1" x14ac:dyDescent="0.25">
      <c r="A52" s="251"/>
      <c r="B52" s="273" t="s">
        <v>796</v>
      </c>
      <c r="C52" s="406" t="s">
        <v>1465</v>
      </c>
      <c r="D52" s="406"/>
      <c r="E52" s="406" t="s">
        <v>1466</v>
      </c>
      <c r="F52" s="251"/>
      <c r="G52" s="251"/>
      <c r="H52" s="251"/>
    </row>
    <row r="53" spans="1:8" s="252" customFormat="1" ht="14.25" customHeight="1" x14ac:dyDescent="0.25">
      <c r="A53" s="251"/>
      <c r="B53" s="273" t="s">
        <v>797</v>
      </c>
      <c r="C53" s="246" t="s">
        <v>1467</v>
      </c>
      <c r="D53" s="246"/>
      <c r="E53" s="291" t="s">
        <v>1468</v>
      </c>
      <c r="F53" s="251"/>
      <c r="G53" s="251"/>
      <c r="H53" s="251"/>
    </row>
    <row r="54" spans="1:8" s="252" customFormat="1" ht="14.25" customHeight="1" x14ac:dyDescent="0.25">
      <c r="A54" s="251"/>
      <c r="B54" s="273" t="s">
        <v>798</v>
      </c>
      <c r="C54" s="554" t="s">
        <v>1548</v>
      </c>
      <c r="D54" s="406"/>
      <c r="E54" s="406" t="s">
        <v>1469</v>
      </c>
      <c r="F54" s="251"/>
      <c r="G54" s="251"/>
      <c r="H54" s="251"/>
    </row>
    <row r="55" spans="1:8" s="252" customFormat="1" ht="14.25" customHeight="1" x14ac:dyDescent="0.25">
      <c r="A55" s="251"/>
      <c r="B55" s="273" t="s">
        <v>799</v>
      </c>
      <c r="C55" s="246" t="s">
        <v>1470</v>
      </c>
      <c r="D55" s="246"/>
      <c r="E55" s="291" t="s">
        <v>1471</v>
      </c>
      <c r="F55" s="251"/>
      <c r="G55" s="251"/>
      <c r="H55" s="251"/>
    </row>
    <row r="56" spans="1:8" s="252" customFormat="1" ht="14.25" customHeight="1" x14ac:dyDescent="0.25">
      <c r="A56" s="251"/>
      <c r="B56" s="273" t="s">
        <v>800</v>
      </c>
      <c r="C56" s="247" t="s">
        <v>1472</v>
      </c>
      <c r="D56" s="272"/>
      <c r="E56" s="291" t="s">
        <v>1473</v>
      </c>
      <c r="F56" s="251"/>
      <c r="G56" s="251"/>
      <c r="H56" s="251"/>
    </row>
    <row r="57" spans="1:8" s="252" customFormat="1" ht="14.25" customHeight="1" x14ac:dyDescent="0.25">
      <c r="A57" s="251"/>
      <c r="B57" s="273" t="s">
        <v>801</v>
      </c>
      <c r="C57" s="247" t="s">
        <v>1474</v>
      </c>
      <c r="D57" s="272"/>
      <c r="E57" s="291" t="s">
        <v>1475</v>
      </c>
      <c r="F57" s="251"/>
      <c r="G57" s="251"/>
      <c r="H57" s="251"/>
    </row>
    <row r="58" spans="1:8" s="252" customFormat="1" ht="14.25" customHeight="1" x14ac:dyDescent="0.25">
      <c r="A58" s="251"/>
      <c r="B58" s="273" t="s">
        <v>1016</v>
      </c>
      <c r="C58" s="247" t="s">
        <v>1476</v>
      </c>
      <c r="D58" s="272"/>
      <c r="E58" s="291" t="s">
        <v>1477</v>
      </c>
      <c r="F58" s="251"/>
      <c r="G58" s="251"/>
      <c r="H58" s="251"/>
    </row>
    <row r="59" spans="1:8" s="252" customFormat="1" ht="14.25" customHeight="1" x14ac:dyDescent="0.25">
      <c r="A59" s="251"/>
      <c r="B59" s="273" t="s">
        <v>1017</v>
      </c>
      <c r="C59" s="247" t="s">
        <v>1478</v>
      </c>
      <c r="D59" s="272"/>
      <c r="E59" s="291" t="s">
        <v>1479</v>
      </c>
      <c r="F59" s="251"/>
      <c r="G59" s="251"/>
      <c r="H59" s="251"/>
    </row>
    <row r="60" spans="1:8" s="252" customFormat="1" ht="14.25" customHeight="1" x14ac:dyDescent="0.25">
      <c r="A60" s="251"/>
      <c r="B60" s="273" t="s">
        <v>1018</v>
      </c>
      <c r="C60" s="326" t="s">
        <v>1480</v>
      </c>
      <c r="D60" s="326"/>
      <c r="E60" s="315" t="s">
        <v>1481</v>
      </c>
      <c r="F60" s="251"/>
      <c r="G60" s="251"/>
      <c r="H60" s="251"/>
    </row>
    <row r="61" spans="1:8" s="252" customFormat="1" ht="14.25" customHeight="1" x14ac:dyDescent="0.25">
      <c r="A61" s="251"/>
      <c r="B61" s="273" t="s">
        <v>1019</v>
      </c>
      <c r="C61" s="326" t="s">
        <v>1482</v>
      </c>
      <c r="D61" s="326"/>
      <c r="E61" s="325" t="s">
        <v>1483</v>
      </c>
      <c r="F61" s="251"/>
      <c r="G61" s="251"/>
      <c r="H61" s="251"/>
    </row>
    <row r="62" spans="1:8" s="252" customFormat="1" ht="14.25" customHeight="1" x14ac:dyDescent="0.25">
      <c r="A62" s="251"/>
      <c r="B62" s="273" t="s">
        <v>1020</v>
      </c>
      <c r="C62" s="406" t="s">
        <v>1484</v>
      </c>
      <c r="D62" s="406"/>
      <c r="E62" s="407" t="s">
        <v>1485</v>
      </c>
      <c r="F62" s="251"/>
      <c r="G62" s="251"/>
      <c r="H62" s="251"/>
    </row>
    <row r="63" spans="1:8" s="252" customFormat="1" ht="14.25" customHeight="1" x14ac:dyDescent="0.25">
      <c r="A63" s="251"/>
      <c r="B63" s="273" t="s">
        <v>1021</v>
      </c>
      <c r="C63" s="326" t="s">
        <v>1496</v>
      </c>
      <c r="D63" s="406"/>
      <c r="E63" s="325" t="s">
        <v>1498</v>
      </c>
      <c r="F63" s="251"/>
      <c r="G63" s="251"/>
      <c r="H63" s="251"/>
    </row>
    <row r="64" spans="1:8" s="252" customFormat="1" ht="14.25" customHeight="1" x14ac:dyDescent="0.25">
      <c r="A64" s="251"/>
      <c r="B64" s="273" t="s">
        <v>1022</v>
      </c>
      <c r="C64" s="386" t="s">
        <v>1497</v>
      </c>
      <c r="D64" s="386"/>
      <c r="E64" s="387" t="s">
        <v>1499</v>
      </c>
      <c r="F64" s="251"/>
      <c r="G64" s="251"/>
      <c r="H64" s="251"/>
    </row>
    <row r="65" spans="1:8" s="252" customFormat="1" ht="14.25" customHeight="1" x14ac:dyDescent="0.25">
      <c r="A65" s="251"/>
      <c r="B65" s="273" t="s">
        <v>1023</v>
      </c>
      <c r="C65" s="406" t="s">
        <v>1486</v>
      </c>
      <c r="D65" s="406"/>
      <c r="E65" s="407" t="s">
        <v>1487</v>
      </c>
      <c r="F65" s="251"/>
      <c r="G65" s="251"/>
      <c r="H65" s="251"/>
    </row>
    <row r="66" spans="1:8" s="252" customFormat="1" ht="14.25" customHeight="1" x14ac:dyDescent="0.25">
      <c r="A66" s="251"/>
      <c r="B66" s="273" t="s">
        <v>1024</v>
      </c>
      <c r="C66" s="406" t="s">
        <v>1510</v>
      </c>
      <c r="D66" s="406"/>
      <c r="E66" s="407" t="s">
        <v>1515</v>
      </c>
      <c r="F66" s="251"/>
      <c r="G66" s="251"/>
      <c r="H66" s="251"/>
    </row>
    <row r="67" spans="1:8" s="252" customFormat="1" ht="14.25" customHeight="1" x14ac:dyDescent="0.25">
      <c r="A67" s="251"/>
      <c r="B67" s="273" t="s">
        <v>1437</v>
      </c>
      <c r="C67" s="406" t="s">
        <v>1516</v>
      </c>
      <c r="D67" s="406"/>
      <c r="E67" s="407" t="s">
        <v>1517</v>
      </c>
      <c r="F67" s="251"/>
      <c r="G67" s="251"/>
      <c r="H67" s="251"/>
    </row>
    <row r="68" spans="1:8" s="252" customFormat="1" ht="14.25" customHeight="1" x14ac:dyDescent="0.25">
      <c r="A68" s="251"/>
      <c r="B68" s="273" t="s">
        <v>1513</v>
      </c>
      <c r="C68" s="386" t="s">
        <v>1488</v>
      </c>
      <c r="D68" s="386"/>
      <c r="E68" s="387" t="s">
        <v>1500</v>
      </c>
      <c r="F68" s="251"/>
      <c r="G68" s="251"/>
      <c r="H68" s="251"/>
    </row>
    <row r="69" spans="1:8" s="252" customFormat="1" ht="14.25" customHeight="1" x14ac:dyDescent="0.25">
      <c r="A69" s="251"/>
      <c r="B69" s="273" t="s">
        <v>1514</v>
      </c>
      <c r="C69" s="386" t="s">
        <v>1520</v>
      </c>
      <c r="D69" s="386"/>
      <c r="E69" s="387" t="s">
        <v>1519</v>
      </c>
      <c r="F69" s="251"/>
      <c r="G69" s="251"/>
      <c r="H69" s="251"/>
    </row>
    <row r="70" spans="1:8" s="252" customFormat="1" ht="14.25" customHeight="1" x14ac:dyDescent="0.25">
      <c r="A70" s="251"/>
      <c r="B70" s="273" t="s">
        <v>1518</v>
      </c>
      <c r="C70" s="386" t="s">
        <v>1526</v>
      </c>
      <c r="D70" s="386"/>
      <c r="E70" s="387" t="s">
        <v>1527</v>
      </c>
      <c r="F70" s="251"/>
      <c r="G70" s="251"/>
      <c r="H70" s="251"/>
    </row>
    <row r="71" spans="1:8" s="252" customFormat="1" ht="14.25" customHeight="1" x14ac:dyDescent="0.25">
      <c r="A71" s="251"/>
      <c r="B71" s="273" t="s">
        <v>1522</v>
      </c>
      <c r="C71" s="326" t="s">
        <v>1508</v>
      </c>
      <c r="D71" s="386"/>
      <c r="E71" s="326" t="s">
        <v>1509</v>
      </c>
      <c r="F71" s="251"/>
      <c r="G71" s="251"/>
      <c r="H71" s="251"/>
    </row>
    <row r="72" spans="1:8" s="252" customFormat="1" x14ac:dyDescent="0.25">
      <c r="A72" s="251"/>
      <c r="B72" s="273" t="s">
        <v>1523</v>
      </c>
      <c r="C72" s="326" t="s">
        <v>1524</v>
      </c>
      <c r="D72" s="410"/>
      <c r="E72" s="326" t="s">
        <v>1525</v>
      </c>
      <c r="F72" s="251"/>
      <c r="G72" s="251"/>
      <c r="H72" s="251"/>
    </row>
    <row r="73" spans="1:8" s="252" customFormat="1" x14ac:dyDescent="0.25">
      <c r="A73" s="251"/>
      <c r="B73" s="273" t="s">
        <v>1528</v>
      </c>
      <c r="C73" s="326" t="s">
        <v>1529</v>
      </c>
      <c r="D73" s="410"/>
      <c r="E73" s="326" t="s">
        <v>1530</v>
      </c>
      <c r="F73" s="251"/>
      <c r="G73" s="251"/>
      <c r="H73" s="251"/>
    </row>
    <row r="74" spans="1:8" s="252" customFormat="1" x14ac:dyDescent="0.25">
      <c r="A74" s="251"/>
      <c r="B74" s="273" t="s">
        <v>1533</v>
      </c>
      <c r="C74" s="552" t="s">
        <v>1534</v>
      </c>
      <c r="D74" s="552"/>
      <c r="E74" s="552" t="s">
        <v>1535</v>
      </c>
      <c r="F74" s="251"/>
      <c r="G74" s="251"/>
      <c r="H74" s="251"/>
    </row>
    <row r="75" spans="1:8" s="252" customFormat="1" x14ac:dyDescent="0.25">
      <c r="A75" s="251"/>
      <c r="B75" s="273" t="s">
        <v>1538</v>
      </c>
      <c r="C75" s="552" t="s">
        <v>1536</v>
      </c>
      <c r="D75" s="326"/>
      <c r="E75" s="326" t="s">
        <v>1537</v>
      </c>
      <c r="F75" s="251"/>
      <c r="G75" s="251"/>
      <c r="H75" s="251"/>
    </row>
    <row r="76" spans="1:8" s="252" customFormat="1" x14ac:dyDescent="0.25">
      <c r="A76" s="251"/>
      <c r="B76" s="274"/>
      <c r="C76" s="373"/>
      <c r="D76" s="373"/>
      <c r="E76" s="373"/>
      <c r="F76" s="251"/>
      <c r="G76" s="251"/>
      <c r="H76" s="251"/>
    </row>
    <row r="77" spans="1:8" s="252" customFormat="1" ht="14.25" customHeight="1" x14ac:dyDescent="0.25">
      <c r="A77" s="251"/>
      <c r="B77" s="264"/>
      <c r="C77" s="262"/>
      <c r="D77" s="262"/>
      <c r="E77" s="262"/>
      <c r="F77" s="251"/>
      <c r="G77" s="251"/>
      <c r="H77" s="251"/>
    </row>
    <row r="78" spans="1:8" s="252" customFormat="1" ht="14.25" customHeight="1" x14ac:dyDescent="0.25">
      <c r="A78" s="251"/>
      <c r="B78" s="256" t="s">
        <v>91</v>
      </c>
      <c r="C78" s="256" t="str">
        <f>list_of_sheets!D10</f>
        <v>SST-Bilanz</v>
      </c>
      <c r="D78" s="256" t="str">
        <f>list_of_sheets!E10</f>
        <v>Bilan SST</v>
      </c>
      <c r="E78" s="256" t="str">
        <f>list_of_sheets!F10</f>
        <v>SST Balance sheet</v>
      </c>
      <c r="F78" s="251"/>
      <c r="G78" s="251"/>
      <c r="H78" s="251"/>
    </row>
    <row r="79" spans="1:8" s="252" customFormat="1" ht="14.25" customHeight="1" x14ac:dyDescent="0.25">
      <c r="A79" s="251"/>
      <c r="B79" s="264"/>
      <c r="C79" s="262"/>
      <c r="D79" s="262"/>
      <c r="E79" s="262"/>
      <c r="F79" s="251"/>
      <c r="G79" s="251"/>
      <c r="H79" s="251"/>
    </row>
    <row r="80" spans="1:8" s="252" customFormat="1" ht="14.25" customHeight="1" x14ac:dyDescent="0.25">
      <c r="A80" s="251"/>
      <c r="B80" s="260" t="s">
        <v>99</v>
      </c>
      <c r="C80" s="247" t="s">
        <v>1453</v>
      </c>
      <c r="D80" s="247"/>
      <c r="E80" s="291" t="s">
        <v>1454</v>
      </c>
      <c r="F80" s="251"/>
      <c r="G80" s="251"/>
      <c r="H80" s="251"/>
    </row>
    <row r="81" spans="1:8" s="252" customFormat="1" ht="14.25" customHeight="1" x14ac:dyDescent="0.25">
      <c r="A81" s="251"/>
      <c r="B81" s="260" t="s">
        <v>100</v>
      </c>
      <c r="C81" s="247" t="s">
        <v>145</v>
      </c>
      <c r="D81" s="247" t="s">
        <v>732</v>
      </c>
      <c r="E81" s="291" t="s">
        <v>731</v>
      </c>
      <c r="F81" s="251"/>
      <c r="G81" s="251"/>
      <c r="H81" s="251"/>
    </row>
    <row r="82" spans="1:8" s="252" customFormat="1" ht="14.25" customHeight="1" x14ac:dyDescent="0.25">
      <c r="A82" s="251"/>
      <c r="B82" s="260" t="s">
        <v>101</v>
      </c>
      <c r="C82" s="290" t="s">
        <v>1027</v>
      </c>
      <c r="D82" s="290" t="s">
        <v>1028</v>
      </c>
      <c r="E82" s="291" t="s">
        <v>1029</v>
      </c>
      <c r="F82" s="251"/>
      <c r="G82" s="251"/>
      <c r="H82" s="251"/>
    </row>
    <row r="83" spans="1:8" s="252" customFormat="1" ht="14.25" customHeight="1" x14ac:dyDescent="0.25">
      <c r="A83" s="251"/>
      <c r="B83" s="260" t="s">
        <v>102</v>
      </c>
      <c r="C83" s="561" t="s">
        <v>1555</v>
      </c>
      <c r="D83" s="561" t="s">
        <v>1566</v>
      </c>
      <c r="E83" s="562" t="s">
        <v>1556</v>
      </c>
      <c r="F83" s="251"/>
      <c r="G83" s="251"/>
      <c r="H83" s="251"/>
    </row>
    <row r="84" spans="1:8" s="252" customFormat="1" ht="14.25" customHeight="1" x14ac:dyDescent="0.25">
      <c r="A84" s="251"/>
      <c r="B84" s="260" t="s">
        <v>728</v>
      </c>
      <c r="C84" s="247" t="s">
        <v>730</v>
      </c>
      <c r="D84" s="247" t="s">
        <v>733</v>
      </c>
      <c r="E84" s="291" t="s">
        <v>734</v>
      </c>
      <c r="F84" s="251"/>
      <c r="G84" s="251"/>
      <c r="H84" s="251"/>
    </row>
    <row r="85" spans="1:8" s="252" customFormat="1" ht="14.25" customHeight="1" x14ac:dyDescent="0.25">
      <c r="A85" s="251"/>
      <c r="B85" s="260" t="s">
        <v>784</v>
      </c>
      <c r="C85" s="247" t="s">
        <v>146</v>
      </c>
      <c r="D85" s="247" t="s">
        <v>735</v>
      </c>
      <c r="E85" s="291" t="s">
        <v>736</v>
      </c>
      <c r="F85" s="251"/>
      <c r="G85" s="251"/>
      <c r="H85" s="251"/>
    </row>
    <row r="86" spans="1:8" s="252" customFormat="1" ht="14.25" customHeight="1" x14ac:dyDescent="0.25">
      <c r="A86" s="251"/>
      <c r="B86" s="260"/>
      <c r="C86" s="247"/>
      <c r="D86" s="247"/>
      <c r="E86" s="247"/>
      <c r="F86" s="251"/>
      <c r="G86" s="251"/>
      <c r="H86" s="251"/>
    </row>
    <row r="87" spans="1:8" s="252" customFormat="1" ht="14.25" customHeight="1" x14ac:dyDescent="0.25">
      <c r="A87" s="251"/>
      <c r="B87" s="260" t="s">
        <v>785</v>
      </c>
      <c r="C87" s="247" t="s">
        <v>148</v>
      </c>
      <c r="D87" s="338" t="s">
        <v>1350</v>
      </c>
      <c r="E87" s="247" t="s">
        <v>149</v>
      </c>
      <c r="F87" s="251"/>
      <c r="G87" s="251"/>
      <c r="H87" s="251"/>
    </row>
    <row r="88" spans="1:8" s="252" customFormat="1" ht="14.25" customHeight="1" x14ac:dyDescent="0.25">
      <c r="A88" s="251"/>
      <c r="B88" s="260" t="s">
        <v>786</v>
      </c>
      <c r="C88" s="247" t="s">
        <v>151</v>
      </c>
      <c r="D88" s="338" t="s">
        <v>1349</v>
      </c>
      <c r="E88" s="247" t="s">
        <v>152</v>
      </c>
      <c r="F88" s="251"/>
      <c r="G88" s="251"/>
      <c r="H88" s="251"/>
    </row>
    <row r="89" spans="1:8" s="252" customFormat="1" ht="14.25" customHeight="1" x14ac:dyDescent="0.25">
      <c r="A89" s="251"/>
      <c r="B89" s="260" t="s">
        <v>787</v>
      </c>
      <c r="C89" s="247" t="s">
        <v>154</v>
      </c>
      <c r="D89" s="247" t="s">
        <v>155</v>
      </c>
      <c r="E89" s="247" t="s">
        <v>156</v>
      </c>
      <c r="F89" s="251"/>
      <c r="G89" s="251"/>
      <c r="H89" s="251"/>
    </row>
    <row r="90" spans="1:8" s="252" customFormat="1" ht="14.25" customHeight="1" x14ac:dyDescent="0.25">
      <c r="A90" s="251"/>
      <c r="B90" s="260" t="s">
        <v>788</v>
      </c>
      <c r="C90" s="247" t="s">
        <v>158</v>
      </c>
      <c r="D90" s="247" t="s">
        <v>159</v>
      </c>
      <c r="E90" s="247" t="s">
        <v>160</v>
      </c>
      <c r="F90" s="251"/>
      <c r="G90" s="251"/>
      <c r="H90" s="251"/>
    </row>
    <row r="91" spans="1:8" s="252" customFormat="1" ht="14.25" customHeight="1" x14ac:dyDescent="0.25">
      <c r="A91" s="251"/>
      <c r="B91" s="260" t="s">
        <v>789</v>
      </c>
      <c r="C91" s="247" t="s">
        <v>162</v>
      </c>
      <c r="D91" s="247" t="s">
        <v>163</v>
      </c>
      <c r="E91" s="247" t="s">
        <v>164</v>
      </c>
      <c r="F91" s="251"/>
      <c r="G91" s="251"/>
      <c r="H91" s="251"/>
    </row>
    <row r="92" spans="1:8" s="252" customFormat="1" ht="14.25" customHeight="1" x14ac:dyDescent="0.25">
      <c r="A92" s="251"/>
      <c r="B92" s="260" t="s">
        <v>802</v>
      </c>
      <c r="C92" s="247" t="s">
        <v>166</v>
      </c>
      <c r="D92" s="247" t="s">
        <v>167</v>
      </c>
      <c r="E92" s="247" t="s">
        <v>168</v>
      </c>
      <c r="F92" s="251"/>
      <c r="G92" s="251"/>
      <c r="H92" s="251"/>
    </row>
    <row r="93" spans="1:8" s="252" customFormat="1" ht="14.25" customHeight="1" x14ac:dyDescent="0.25">
      <c r="A93" s="251"/>
      <c r="B93" s="260" t="s">
        <v>803</v>
      </c>
      <c r="C93" s="247" t="s">
        <v>170</v>
      </c>
      <c r="D93" s="247" t="s">
        <v>171</v>
      </c>
      <c r="E93" s="333" t="s">
        <v>1173</v>
      </c>
      <c r="F93" s="251"/>
      <c r="G93" s="251"/>
      <c r="H93" s="251"/>
    </row>
    <row r="94" spans="1:8" s="252" customFormat="1" ht="14.25" customHeight="1" x14ac:dyDescent="0.25">
      <c r="A94" s="251"/>
      <c r="B94" s="260" t="s">
        <v>804</v>
      </c>
      <c r="C94" s="247" t="s">
        <v>173</v>
      </c>
      <c r="D94" s="247" t="s">
        <v>174</v>
      </c>
      <c r="E94" s="247" t="s">
        <v>175</v>
      </c>
      <c r="F94" s="251"/>
      <c r="G94" s="251"/>
      <c r="H94" s="251"/>
    </row>
    <row r="95" spans="1:8" s="252" customFormat="1" ht="14.25" customHeight="1" x14ac:dyDescent="0.25">
      <c r="A95" s="251"/>
      <c r="B95" s="260" t="s">
        <v>805</v>
      </c>
      <c r="C95" s="247" t="s">
        <v>177</v>
      </c>
      <c r="D95" s="247" t="s">
        <v>178</v>
      </c>
      <c r="E95" s="247" t="s">
        <v>179</v>
      </c>
      <c r="F95" s="251"/>
      <c r="G95" s="251"/>
      <c r="H95" s="251"/>
    </row>
    <row r="96" spans="1:8" s="252" customFormat="1" ht="14.25" customHeight="1" x14ac:dyDescent="0.25">
      <c r="A96" s="251"/>
      <c r="B96" s="260" t="s">
        <v>806</v>
      </c>
      <c r="C96" s="247" t="s">
        <v>182</v>
      </c>
      <c r="D96" s="247" t="s">
        <v>183</v>
      </c>
      <c r="E96" s="247" t="s">
        <v>184</v>
      </c>
      <c r="F96" s="251"/>
      <c r="G96" s="251"/>
      <c r="H96" s="251"/>
    </row>
    <row r="97" spans="1:8" s="252" customFormat="1" ht="14.25" customHeight="1" x14ac:dyDescent="0.25">
      <c r="A97" s="251"/>
      <c r="B97" s="260" t="s">
        <v>807</v>
      </c>
      <c r="C97" s="247" t="s">
        <v>186</v>
      </c>
      <c r="D97" s="247" t="s">
        <v>187</v>
      </c>
      <c r="E97" s="247" t="s">
        <v>188</v>
      </c>
      <c r="F97" s="251"/>
      <c r="G97" s="251"/>
      <c r="H97" s="251"/>
    </row>
    <row r="98" spans="1:8" s="252" customFormat="1" ht="14.25" customHeight="1" x14ac:dyDescent="0.25">
      <c r="A98" s="251"/>
      <c r="B98" s="260"/>
      <c r="C98" s="247"/>
      <c r="D98" s="247"/>
      <c r="E98" s="247"/>
      <c r="F98" s="251"/>
      <c r="G98" s="251"/>
      <c r="H98" s="251"/>
    </row>
    <row r="99" spans="1:8" s="252" customFormat="1" ht="14.25" customHeight="1" x14ac:dyDescent="0.25">
      <c r="A99" s="251"/>
      <c r="B99" s="260" t="s">
        <v>808</v>
      </c>
      <c r="C99" s="247" t="s">
        <v>190</v>
      </c>
      <c r="D99" s="247" t="s">
        <v>191</v>
      </c>
      <c r="E99" s="247" t="s">
        <v>192</v>
      </c>
      <c r="F99" s="251"/>
      <c r="G99" s="251"/>
      <c r="H99" s="251"/>
    </row>
    <row r="100" spans="1:8" s="252" customFormat="1" ht="14.25" customHeight="1" x14ac:dyDescent="0.25">
      <c r="A100" s="251"/>
      <c r="B100" s="260" t="s">
        <v>809</v>
      </c>
      <c r="C100" s="247" t="s">
        <v>123</v>
      </c>
      <c r="D100" s="247" t="s">
        <v>194</v>
      </c>
      <c r="E100" s="247" t="s">
        <v>1169</v>
      </c>
      <c r="F100" s="251"/>
      <c r="G100" s="251"/>
      <c r="H100" s="251"/>
    </row>
    <row r="101" spans="1:8" s="252" customFormat="1" ht="14.25" customHeight="1" x14ac:dyDescent="0.25">
      <c r="A101" s="251"/>
      <c r="B101" s="260" t="s">
        <v>810</v>
      </c>
      <c r="C101" s="247" t="s">
        <v>196</v>
      </c>
      <c r="D101" s="247" t="s">
        <v>197</v>
      </c>
      <c r="E101" s="333" t="s">
        <v>1171</v>
      </c>
      <c r="F101" s="251"/>
      <c r="G101" s="251"/>
      <c r="H101" s="251"/>
    </row>
    <row r="102" spans="1:8" s="252" customFormat="1" ht="14.25" customHeight="1" x14ac:dyDescent="0.25">
      <c r="A102" s="251"/>
      <c r="B102" s="260" t="s">
        <v>811</v>
      </c>
      <c r="C102" s="247" t="s">
        <v>199</v>
      </c>
      <c r="D102" s="247" t="s">
        <v>200</v>
      </c>
      <c r="E102" s="333" t="s">
        <v>1172</v>
      </c>
      <c r="F102" s="251"/>
      <c r="G102" s="251"/>
      <c r="H102" s="251"/>
    </row>
    <row r="103" spans="1:8" s="252" customFormat="1" ht="14.25" customHeight="1" x14ac:dyDescent="0.25">
      <c r="A103" s="251"/>
      <c r="C103" s="247"/>
      <c r="D103" s="247"/>
      <c r="E103" s="247"/>
      <c r="F103" s="251"/>
      <c r="G103" s="251"/>
      <c r="H103" s="251"/>
    </row>
    <row r="104" spans="1:8" s="252" customFormat="1" ht="14.25" customHeight="1" x14ac:dyDescent="0.25">
      <c r="A104" s="251"/>
      <c r="B104" s="260" t="s">
        <v>812</v>
      </c>
      <c r="C104" s="247" t="s">
        <v>124</v>
      </c>
      <c r="D104" s="260" t="s">
        <v>737</v>
      </c>
      <c r="E104" s="260" t="s">
        <v>1170</v>
      </c>
      <c r="F104" s="251"/>
      <c r="G104" s="251"/>
      <c r="H104" s="251"/>
    </row>
    <row r="105" spans="1:8" s="252" customFormat="1" ht="14.25" customHeight="1" x14ac:dyDescent="0.25">
      <c r="A105" s="251"/>
      <c r="B105" s="260" t="s">
        <v>813</v>
      </c>
      <c r="C105" s="247" t="s">
        <v>196</v>
      </c>
      <c r="D105" s="247" t="s">
        <v>197</v>
      </c>
      <c r="E105" s="247" t="s">
        <v>1171</v>
      </c>
      <c r="F105" s="251"/>
      <c r="G105" s="251"/>
      <c r="H105" s="251"/>
    </row>
    <row r="106" spans="1:8" s="252" customFormat="1" ht="14.25" customHeight="1" x14ac:dyDescent="0.25">
      <c r="A106" s="251"/>
      <c r="B106" s="260" t="s">
        <v>814</v>
      </c>
      <c r="C106" s="247" t="s">
        <v>199</v>
      </c>
      <c r="D106" s="247" t="s">
        <v>200</v>
      </c>
      <c r="E106" s="247" t="s">
        <v>1172</v>
      </c>
      <c r="F106" s="251"/>
      <c r="G106" s="251"/>
      <c r="H106" s="251"/>
    </row>
    <row r="107" spans="1:8" s="252" customFormat="1" ht="14.25" customHeight="1" x14ac:dyDescent="0.25">
      <c r="A107" s="251"/>
      <c r="C107" s="247"/>
      <c r="D107" s="247"/>
      <c r="E107" s="247"/>
      <c r="F107" s="251"/>
      <c r="G107" s="251"/>
      <c r="H107" s="251"/>
    </row>
    <row r="108" spans="1:8" s="252" customFormat="1" ht="14.25" customHeight="1" x14ac:dyDescent="0.25">
      <c r="A108" s="251"/>
      <c r="B108" s="260" t="s">
        <v>815</v>
      </c>
      <c r="C108" s="247" t="s">
        <v>209</v>
      </c>
      <c r="D108" s="247" t="s">
        <v>210</v>
      </c>
      <c r="E108" s="338" t="s">
        <v>1356</v>
      </c>
      <c r="F108" s="251"/>
      <c r="G108" s="251"/>
      <c r="H108" s="251"/>
    </row>
    <row r="109" spans="1:8" s="252" customFormat="1" ht="14.25" customHeight="1" x14ac:dyDescent="0.25">
      <c r="A109" s="251"/>
      <c r="B109" s="260" t="s">
        <v>816</v>
      </c>
      <c r="C109" s="247" t="s">
        <v>212</v>
      </c>
      <c r="D109" s="338" t="s">
        <v>1337</v>
      </c>
      <c r="E109" s="333" t="s">
        <v>1174</v>
      </c>
      <c r="F109" s="251"/>
      <c r="G109" s="251"/>
      <c r="H109" s="251"/>
    </row>
    <row r="110" spans="1:8" s="252" customFormat="1" ht="14.25" customHeight="1" x14ac:dyDescent="0.25">
      <c r="A110" s="251"/>
      <c r="B110" s="260" t="s">
        <v>817</v>
      </c>
      <c r="C110" s="292" t="s">
        <v>1053</v>
      </c>
      <c r="D110" s="292" t="s">
        <v>1054</v>
      </c>
      <c r="E110" s="292" t="s">
        <v>1055</v>
      </c>
      <c r="F110" s="251"/>
      <c r="G110" s="251"/>
      <c r="H110" s="251"/>
    </row>
    <row r="111" spans="1:8" s="252" customFormat="1" ht="14.25" customHeight="1" x14ac:dyDescent="0.25">
      <c r="A111" s="251"/>
      <c r="B111" s="260" t="s">
        <v>818</v>
      </c>
      <c r="C111" s="247" t="s">
        <v>215</v>
      </c>
      <c r="D111" s="247" t="s">
        <v>216</v>
      </c>
      <c r="E111" s="247" t="s">
        <v>217</v>
      </c>
      <c r="F111" s="251"/>
      <c r="G111" s="251"/>
      <c r="H111" s="251"/>
    </row>
    <row r="112" spans="1:8" s="252" customFormat="1" ht="14.25" customHeight="1" x14ac:dyDescent="0.25">
      <c r="A112" s="251"/>
      <c r="B112" s="260" t="s">
        <v>819</v>
      </c>
      <c r="C112" s="247" t="s">
        <v>219</v>
      </c>
      <c r="D112" s="247" t="s">
        <v>220</v>
      </c>
      <c r="E112" s="247" t="s">
        <v>221</v>
      </c>
      <c r="F112" s="251"/>
      <c r="G112" s="251"/>
      <c r="H112" s="251"/>
    </row>
    <row r="113" spans="1:8" s="252" customFormat="1" ht="14.25" customHeight="1" x14ac:dyDescent="0.25">
      <c r="A113" s="251"/>
      <c r="B113" s="260" t="s">
        <v>820</v>
      </c>
      <c r="C113" s="247" t="s">
        <v>223</v>
      </c>
      <c r="D113" s="247" t="s">
        <v>224</v>
      </c>
      <c r="E113" s="247" t="s">
        <v>225</v>
      </c>
      <c r="F113" s="251"/>
      <c r="G113" s="251"/>
      <c r="H113" s="251"/>
    </row>
    <row r="114" spans="1:8" s="252" customFormat="1" ht="14.25" customHeight="1" x14ac:dyDescent="0.25">
      <c r="A114" s="251"/>
      <c r="B114" s="260" t="s">
        <v>821</v>
      </c>
      <c r="C114" s="247" t="s">
        <v>227</v>
      </c>
      <c r="D114" s="247" t="s">
        <v>229</v>
      </c>
      <c r="E114" s="247" t="s">
        <v>230</v>
      </c>
      <c r="F114" s="251"/>
      <c r="G114" s="251"/>
      <c r="H114" s="251"/>
    </row>
    <row r="115" spans="1:8" s="252" customFormat="1" ht="14.25" customHeight="1" x14ac:dyDescent="0.25">
      <c r="A115" s="251"/>
      <c r="B115" s="260" t="s">
        <v>822</v>
      </c>
      <c r="C115" s="247" t="s">
        <v>232</v>
      </c>
      <c r="D115" s="247" t="s">
        <v>233</v>
      </c>
      <c r="E115" s="247" t="s">
        <v>234</v>
      </c>
      <c r="F115" s="251"/>
      <c r="G115" s="251"/>
      <c r="H115" s="251"/>
    </row>
    <row r="116" spans="1:8" s="252" customFormat="1" ht="14.25" customHeight="1" x14ac:dyDescent="0.25">
      <c r="A116" s="251"/>
      <c r="B116" s="260" t="s">
        <v>823</v>
      </c>
      <c r="C116" s="247" t="s">
        <v>236</v>
      </c>
      <c r="D116" s="338" t="s">
        <v>1338</v>
      </c>
      <c r="E116" s="247" t="s">
        <v>237</v>
      </c>
      <c r="F116" s="251"/>
      <c r="G116" s="251"/>
      <c r="H116" s="251"/>
    </row>
    <row r="117" spans="1:8" s="252" customFormat="1" ht="14.25" customHeight="1" x14ac:dyDescent="0.25">
      <c r="A117" s="251"/>
      <c r="C117" s="247"/>
      <c r="D117" s="247"/>
      <c r="E117" s="247"/>
      <c r="F117" s="251"/>
      <c r="G117" s="251"/>
      <c r="H117" s="251"/>
    </row>
    <row r="118" spans="1:8" s="252" customFormat="1" ht="14.25" customHeight="1" x14ac:dyDescent="0.25">
      <c r="A118" s="251"/>
      <c r="B118" s="260" t="s">
        <v>824</v>
      </c>
      <c r="C118" s="247" t="s">
        <v>239</v>
      </c>
      <c r="D118" s="247" t="s">
        <v>240</v>
      </c>
      <c r="E118" s="247" t="s">
        <v>241</v>
      </c>
      <c r="F118" s="251"/>
      <c r="G118" s="251"/>
      <c r="H118" s="251"/>
    </row>
    <row r="119" spans="1:8" s="252" customFormat="1" ht="14.25" customHeight="1" x14ac:dyDescent="0.25">
      <c r="A119" s="251"/>
      <c r="B119" s="260" t="s">
        <v>825</v>
      </c>
      <c r="C119" s="247" t="s">
        <v>243</v>
      </c>
      <c r="D119" s="247" t="s">
        <v>244</v>
      </c>
      <c r="E119" s="247" t="s">
        <v>245</v>
      </c>
      <c r="F119" s="251"/>
      <c r="G119" s="251"/>
      <c r="H119" s="251"/>
    </row>
    <row r="120" spans="1:8" s="252" customFormat="1" ht="14.25" customHeight="1" x14ac:dyDescent="0.25">
      <c r="A120" s="251"/>
      <c r="B120" s="260" t="s">
        <v>826</v>
      </c>
      <c r="C120" s="247" t="s">
        <v>247</v>
      </c>
      <c r="D120" s="247" t="s">
        <v>248</v>
      </c>
      <c r="E120" s="247" t="s">
        <v>1175</v>
      </c>
      <c r="F120" s="251"/>
      <c r="G120" s="251"/>
      <c r="H120" s="251"/>
    </row>
    <row r="121" spans="1:8" s="252" customFormat="1" ht="14.25" customHeight="1" x14ac:dyDescent="0.25">
      <c r="A121" s="251"/>
      <c r="B121" s="260" t="s">
        <v>827</v>
      </c>
      <c r="C121" s="247" t="s">
        <v>250</v>
      </c>
      <c r="D121" s="247" t="s">
        <v>251</v>
      </c>
      <c r="E121" s="247" t="s">
        <v>252</v>
      </c>
      <c r="F121" s="251"/>
      <c r="G121" s="251"/>
      <c r="H121" s="251"/>
    </row>
    <row r="122" spans="1:8" s="252" customFormat="1" ht="14.25" customHeight="1" x14ac:dyDescent="0.25">
      <c r="A122" s="251"/>
      <c r="C122" s="247"/>
      <c r="D122" s="247"/>
      <c r="E122" s="247"/>
      <c r="F122" s="251"/>
      <c r="G122" s="251"/>
      <c r="H122" s="251"/>
    </row>
    <row r="123" spans="1:8" s="252" customFormat="1" ht="14.25" customHeight="1" x14ac:dyDescent="0.25">
      <c r="A123" s="251"/>
      <c r="B123" s="260" t="s">
        <v>828</v>
      </c>
      <c r="C123" s="247" t="s">
        <v>254</v>
      </c>
      <c r="D123" s="247" t="s">
        <v>255</v>
      </c>
      <c r="E123" s="247" t="s">
        <v>256</v>
      </c>
      <c r="F123" s="251"/>
      <c r="G123" s="251"/>
      <c r="H123" s="251"/>
    </row>
    <row r="124" spans="1:8" s="252" customFormat="1" ht="14.25" customHeight="1" x14ac:dyDescent="0.25">
      <c r="A124" s="251"/>
      <c r="B124" s="260" t="s">
        <v>829</v>
      </c>
      <c r="C124" s="247" t="s">
        <v>258</v>
      </c>
      <c r="D124" s="247" t="s">
        <v>259</v>
      </c>
      <c r="E124" s="247" t="s">
        <v>260</v>
      </c>
      <c r="F124" s="251"/>
      <c r="G124" s="251"/>
      <c r="H124" s="251"/>
    </row>
    <row r="125" spans="1:8" s="252" customFormat="1" ht="14.25" customHeight="1" x14ac:dyDescent="0.25">
      <c r="A125" s="251"/>
      <c r="B125" s="260" t="s">
        <v>830</v>
      </c>
      <c r="C125" s="323" t="s">
        <v>1122</v>
      </c>
      <c r="D125" s="323" t="s">
        <v>1124</v>
      </c>
      <c r="E125" s="323" t="s">
        <v>1126</v>
      </c>
      <c r="F125" s="251"/>
      <c r="G125" s="251"/>
      <c r="H125" s="251"/>
    </row>
    <row r="126" spans="1:8" s="252" customFormat="1" ht="14.25" customHeight="1" x14ac:dyDescent="0.25">
      <c r="A126" s="251"/>
      <c r="B126" s="260" t="s">
        <v>831</v>
      </c>
      <c r="C126" s="323" t="s">
        <v>1123</v>
      </c>
      <c r="D126" s="323" t="s">
        <v>1125</v>
      </c>
      <c r="E126" s="323" t="s">
        <v>1127</v>
      </c>
      <c r="F126" s="251"/>
      <c r="G126" s="251"/>
      <c r="H126" s="251"/>
    </row>
    <row r="127" spans="1:8" s="252" customFormat="1" ht="14.25" customHeight="1" x14ac:dyDescent="0.25">
      <c r="A127" s="251"/>
      <c r="B127" s="260" t="s">
        <v>832</v>
      </c>
      <c r="C127" s="247" t="s">
        <v>264</v>
      </c>
      <c r="D127" s="247" t="s">
        <v>265</v>
      </c>
      <c r="E127" s="247" t="s">
        <v>266</v>
      </c>
      <c r="F127" s="251"/>
      <c r="G127" s="251"/>
      <c r="H127" s="251"/>
    </row>
    <row r="128" spans="1:8" s="252" customFormat="1" ht="14.25" customHeight="1" x14ac:dyDescent="0.25">
      <c r="A128" s="251"/>
      <c r="B128" s="260" t="s">
        <v>833</v>
      </c>
      <c r="C128" s="323" t="s">
        <v>1122</v>
      </c>
      <c r="D128" s="323" t="s">
        <v>1124</v>
      </c>
      <c r="E128" s="323" t="s">
        <v>1126</v>
      </c>
      <c r="F128" s="251"/>
      <c r="G128" s="251"/>
      <c r="H128" s="251"/>
    </row>
    <row r="129" spans="1:8" s="252" customFormat="1" ht="14.25" customHeight="1" x14ac:dyDescent="0.25">
      <c r="A129" s="251"/>
      <c r="B129" s="260" t="s">
        <v>834</v>
      </c>
      <c r="C129" s="323" t="s">
        <v>1123</v>
      </c>
      <c r="D129" s="323" t="s">
        <v>1125</v>
      </c>
      <c r="E129" s="323" t="s">
        <v>1127</v>
      </c>
      <c r="F129" s="251"/>
      <c r="G129" s="251"/>
      <c r="H129" s="251"/>
    </row>
    <row r="130" spans="1:8" s="252" customFormat="1" ht="14.25" customHeight="1" x14ac:dyDescent="0.25">
      <c r="A130" s="251"/>
      <c r="C130" s="247"/>
      <c r="D130" s="247"/>
      <c r="E130" s="247"/>
      <c r="F130" s="251"/>
      <c r="G130" s="251"/>
      <c r="H130" s="251"/>
    </row>
    <row r="131" spans="1:8" s="252" customFormat="1" ht="14.25" customHeight="1" x14ac:dyDescent="0.25">
      <c r="A131" s="251"/>
      <c r="B131" s="260" t="s">
        <v>835</v>
      </c>
      <c r="C131" s="247" t="s">
        <v>270</v>
      </c>
      <c r="D131" s="247" t="s">
        <v>271</v>
      </c>
      <c r="E131" s="338" t="s">
        <v>1357</v>
      </c>
      <c r="F131" s="251"/>
      <c r="G131" s="251"/>
      <c r="H131" s="251"/>
    </row>
    <row r="132" spans="1:8" s="252" customFormat="1" ht="14.25" customHeight="1" x14ac:dyDescent="0.25">
      <c r="A132" s="251"/>
      <c r="B132" s="260" t="s">
        <v>836</v>
      </c>
      <c r="C132" s="247" t="s">
        <v>273</v>
      </c>
      <c r="D132" s="247" t="s">
        <v>274</v>
      </c>
      <c r="E132" s="247" t="s">
        <v>275</v>
      </c>
      <c r="F132" s="251"/>
      <c r="G132" s="251"/>
      <c r="H132" s="251"/>
    </row>
    <row r="133" spans="1:8" s="252" customFormat="1" ht="14.25" customHeight="1" x14ac:dyDescent="0.25">
      <c r="A133" s="251"/>
      <c r="B133" s="260" t="s">
        <v>837</v>
      </c>
      <c r="C133" s="333" t="s">
        <v>1139</v>
      </c>
      <c r="D133" s="335" t="s">
        <v>1168</v>
      </c>
      <c r="E133" s="247" t="s">
        <v>1287</v>
      </c>
      <c r="F133" s="251"/>
      <c r="G133" s="251"/>
      <c r="H133" s="251"/>
    </row>
    <row r="134" spans="1:8" s="252" customFormat="1" ht="14.25" customHeight="1" x14ac:dyDescent="0.25">
      <c r="A134" s="251"/>
      <c r="B134" s="333" t="s">
        <v>838</v>
      </c>
      <c r="C134" s="247" t="s">
        <v>277</v>
      </c>
      <c r="D134" s="247" t="s">
        <v>278</v>
      </c>
      <c r="E134" s="247" t="s">
        <v>279</v>
      </c>
      <c r="F134" s="251"/>
      <c r="G134" s="251"/>
      <c r="H134" s="251"/>
    </row>
    <row r="135" spans="1:8" s="252" customFormat="1" ht="14.25" customHeight="1" x14ac:dyDescent="0.25">
      <c r="A135" s="251"/>
      <c r="C135" s="247"/>
      <c r="D135" s="247"/>
      <c r="E135" s="247"/>
      <c r="F135" s="251"/>
      <c r="G135" s="251"/>
      <c r="H135" s="251"/>
    </row>
    <row r="136" spans="1:8" s="252" customFormat="1" ht="14.25" customHeight="1" x14ac:dyDescent="0.25">
      <c r="A136" s="251"/>
      <c r="B136" s="260" t="s">
        <v>839</v>
      </c>
      <c r="C136" s="247" t="s">
        <v>282</v>
      </c>
      <c r="D136" s="338" t="s">
        <v>1348</v>
      </c>
      <c r="E136" s="247" t="s">
        <v>283</v>
      </c>
      <c r="F136" s="251"/>
      <c r="G136" s="251"/>
      <c r="H136" s="251"/>
    </row>
    <row r="137" spans="1:8" s="252" customFormat="1" ht="14.25" customHeight="1" x14ac:dyDescent="0.25">
      <c r="A137" s="251"/>
      <c r="B137" s="260" t="s">
        <v>840</v>
      </c>
      <c r="C137" s="247" t="s">
        <v>125</v>
      </c>
      <c r="D137" s="338" t="s">
        <v>1352</v>
      </c>
      <c r="E137" s="338" t="s">
        <v>1358</v>
      </c>
      <c r="F137" s="251"/>
      <c r="G137" s="251"/>
      <c r="H137" s="251"/>
    </row>
    <row r="138" spans="1:8" s="252" customFormat="1" ht="14.25" customHeight="1" x14ac:dyDescent="0.25">
      <c r="A138" s="251"/>
      <c r="B138" s="260" t="s">
        <v>841</v>
      </c>
      <c r="C138" s="247" t="s">
        <v>126</v>
      </c>
      <c r="D138" s="247" t="s">
        <v>286</v>
      </c>
      <c r="E138" s="247" t="s">
        <v>287</v>
      </c>
      <c r="F138" s="251"/>
      <c r="G138" s="251"/>
      <c r="H138" s="251"/>
    </row>
    <row r="139" spans="1:8" s="252" customFormat="1" ht="14.25" customHeight="1" x14ac:dyDescent="0.25">
      <c r="A139" s="251"/>
      <c r="B139" s="260" t="s">
        <v>842</v>
      </c>
      <c r="C139" s="247" t="s">
        <v>127</v>
      </c>
      <c r="D139" s="247" t="s">
        <v>289</v>
      </c>
      <c r="E139" s="338" t="s">
        <v>1365</v>
      </c>
      <c r="F139" s="251"/>
      <c r="G139" s="251"/>
      <c r="H139" s="251"/>
    </row>
    <row r="140" spans="1:8" s="252" customFormat="1" ht="14.25" customHeight="1" x14ac:dyDescent="0.25">
      <c r="A140" s="251"/>
      <c r="B140" s="260" t="s">
        <v>843</v>
      </c>
      <c r="C140" s="333" t="s">
        <v>1176</v>
      </c>
      <c r="D140" s="247" t="s">
        <v>292</v>
      </c>
      <c r="E140" s="333" t="s">
        <v>1177</v>
      </c>
      <c r="F140" s="251"/>
      <c r="G140" s="251"/>
      <c r="H140" s="251"/>
    </row>
    <row r="141" spans="1:8" s="252" customFormat="1" ht="14.25" customHeight="1" x14ac:dyDescent="0.25">
      <c r="A141" s="251"/>
      <c r="B141" s="260" t="s">
        <v>844</v>
      </c>
      <c r="C141" s="247" t="s">
        <v>129</v>
      </c>
      <c r="D141" s="247" t="s">
        <v>295</v>
      </c>
      <c r="E141" s="247" t="s">
        <v>296</v>
      </c>
      <c r="F141" s="251"/>
      <c r="G141" s="251"/>
      <c r="H141" s="251"/>
    </row>
    <row r="142" spans="1:8" s="252" customFormat="1" ht="14.25" customHeight="1" x14ac:dyDescent="0.25">
      <c r="A142" s="251"/>
      <c r="B142" s="260" t="s">
        <v>845</v>
      </c>
      <c r="C142" s="247" t="s">
        <v>130</v>
      </c>
      <c r="D142" s="247" t="s">
        <v>298</v>
      </c>
      <c r="E142" s="247" t="s">
        <v>299</v>
      </c>
      <c r="F142" s="251"/>
      <c r="G142" s="251"/>
      <c r="H142" s="251"/>
    </row>
    <row r="143" spans="1:8" s="252" customFormat="1" ht="14.25" customHeight="1" x14ac:dyDescent="0.25">
      <c r="A143" s="251"/>
      <c r="B143" s="260" t="s">
        <v>846</v>
      </c>
      <c r="C143" s="247" t="s">
        <v>131</v>
      </c>
      <c r="D143" s="247" t="s">
        <v>301</v>
      </c>
      <c r="E143" s="247" t="s">
        <v>302</v>
      </c>
      <c r="F143" s="251"/>
      <c r="G143" s="251"/>
      <c r="H143" s="251"/>
    </row>
    <row r="144" spans="1:8" s="252" customFormat="1" ht="14.25" customHeight="1" x14ac:dyDescent="0.25">
      <c r="A144" s="251"/>
      <c r="C144" s="247"/>
      <c r="D144" s="247"/>
      <c r="E144" s="247"/>
      <c r="F144" s="251"/>
      <c r="G144" s="251"/>
      <c r="H144" s="251"/>
    </row>
    <row r="145" spans="1:8" s="252" customFormat="1" ht="14.25" customHeight="1" x14ac:dyDescent="0.25">
      <c r="A145" s="251"/>
      <c r="B145" s="260" t="s">
        <v>847</v>
      </c>
      <c r="C145" s="333" t="s">
        <v>1181</v>
      </c>
      <c r="D145" s="338" t="s">
        <v>1182</v>
      </c>
      <c r="E145" s="247" t="s">
        <v>305</v>
      </c>
      <c r="F145" s="251"/>
      <c r="G145" s="251"/>
      <c r="H145" s="251"/>
    </row>
    <row r="146" spans="1:8" s="252" customFormat="1" ht="14.25" customHeight="1" x14ac:dyDescent="0.25">
      <c r="A146" s="251"/>
      <c r="B146" s="260" t="s">
        <v>848</v>
      </c>
      <c r="C146" s="265" t="s">
        <v>774</v>
      </c>
      <c r="D146" s="306" t="s">
        <v>54</v>
      </c>
      <c r="E146" s="247" t="s">
        <v>23</v>
      </c>
      <c r="F146" s="251"/>
      <c r="G146" s="251"/>
      <c r="H146" s="251"/>
    </row>
    <row r="147" spans="1:8" s="252" customFormat="1" ht="14.25" customHeight="1" x14ac:dyDescent="0.25">
      <c r="A147" s="251"/>
      <c r="B147" s="260" t="s">
        <v>849</v>
      </c>
      <c r="C147" s="247" t="s">
        <v>22</v>
      </c>
      <c r="D147" s="306" t="s">
        <v>22</v>
      </c>
      <c r="E147" s="247" t="s">
        <v>24</v>
      </c>
      <c r="F147" s="251"/>
      <c r="G147" s="251"/>
      <c r="H147" s="251"/>
    </row>
    <row r="148" spans="1:8" s="252" customFormat="1" ht="14.25" customHeight="1" x14ac:dyDescent="0.25">
      <c r="A148" s="251"/>
      <c r="B148" s="260" t="s">
        <v>850</v>
      </c>
      <c r="C148" s="247" t="s">
        <v>309</v>
      </c>
      <c r="D148" s="247" t="s">
        <v>310</v>
      </c>
      <c r="E148" s="247" t="s">
        <v>311</v>
      </c>
      <c r="F148" s="251"/>
      <c r="G148" s="251"/>
      <c r="H148" s="251"/>
    </row>
    <row r="149" spans="1:8" s="252" customFormat="1" ht="14.25" customHeight="1" x14ac:dyDescent="0.25">
      <c r="A149" s="251"/>
      <c r="C149" s="247"/>
      <c r="D149" s="247"/>
      <c r="E149" s="247"/>
      <c r="F149" s="251"/>
      <c r="G149" s="251"/>
      <c r="H149" s="251"/>
    </row>
    <row r="150" spans="1:8" s="252" customFormat="1" ht="14.25" customHeight="1" x14ac:dyDescent="0.25">
      <c r="A150" s="251"/>
      <c r="B150" s="260" t="s">
        <v>851</v>
      </c>
      <c r="C150" s="338" t="s">
        <v>1315</v>
      </c>
      <c r="D150" s="338" t="s">
        <v>1316</v>
      </c>
      <c r="E150" s="247" t="s">
        <v>313</v>
      </c>
      <c r="F150" s="251"/>
      <c r="G150" s="251"/>
      <c r="H150" s="251"/>
    </row>
    <row r="151" spans="1:8" s="252" customFormat="1" ht="14.25" customHeight="1" x14ac:dyDescent="0.25">
      <c r="A151" s="251"/>
      <c r="B151" s="260" t="s">
        <v>852</v>
      </c>
      <c r="C151" s="323" t="s">
        <v>1128</v>
      </c>
      <c r="D151" s="306" t="s">
        <v>1128</v>
      </c>
      <c r="E151" s="338" t="s">
        <v>1366</v>
      </c>
      <c r="F151" s="251"/>
      <c r="G151" s="251"/>
      <c r="H151" s="251"/>
    </row>
    <row r="152" spans="1:8" s="252" customFormat="1" ht="14.25" customHeight="1" x14ac:dyDescent="0.25">
      <c r="A152" s="251"/>
      <c r="B152" s="260" t="s">
        <v>853</v>
      </c>
      <c r="C152" s="323" t="s">
        <v>1129</v>
      </c>
      <c r="D152" s="306" t="s">
        <v>1339</v>
      </c>
      <c r="E152" s="338" t="s">
        <v>1367</v>
      </c>
      <c r="F152" s="251"/>
      <c r="G152" s="251"/>
      <c r="H152" s="251"/>
    </row>
    <row r="153" spans="1:8" s="252" customFormat="1" ht="14.25" customHeight="1" x14ac:dyDescent="0.25">
      <c r="A153" s="251"/>
      <c r="B153" s="260" t="s">
        <v>854</v>
      </c>
      <c r="C153" s="323" t="s">
        <v>1130</v>
      </c>
      <c r="D153" s="338" t="s">
        <v>1340</v>
      </c>
      <c r="E153" s="338" t="s">
        <v>1368</v>
      </c>
      <c r="F153" s="251"/>
      <c r="G153" s="251"/>
      <c r="H153" s="251"/>
    </row>
    <row r="154" spans="1:8" s="252" customFormat="1" ht="14.25" customHeight="1" x14ac:dyDescent="0.25">
      <c r="A154" s="251"/>
      <c r="C154" s="247"/>
      <c r="D154" s="247"/>
      <c r="E154" s="247"/>
      <c r="F154" s="251"/>
      <c r="G154" s="251"/>
      <c r="H154" s="251"/>
    </row>
    <row r="155" spans="1:8" s="252" customFormat="1" ht="14.25" customHeight="1" x14ac:dyDescent="0.25">
      <c r="A155" s="251"/>
      <c r="B155" s="260" t="s">
        <v>855</v>
      </c>
      <c r="C155" s="247" t="s">
        <v>133</v>
      </c>
      <c r="D155" s="247" t="s">
        <v>318</v>
      </c>
      <c r="E155" s="247" t="s">
        <v>319</v>
      </c>
      <c r="F155" s="251"/>
      <c r="G155" s="251"/>
      <c r="H155" s="251"/>
    </row>
    <row r="156" spans="1:8" s="252" customFormat="1" ht="14.25" customHeight="1" x14ac:dyDescent="0.25">
      <c r="A156" s="251"/>
      <c r="B156" s="260" t="s">
        <v>856</v>
      </c>
      <c r="C156" s="247" t="s">
        <v>321</v>
      </c>
      <c r="D156" s="305" t="s">
        <v>1111</v>
      </c>
      <c r="E156" s="247" t="s">
        <v>322</v>
      </c>
      <c r="F156" s="251"/>
      <c r="G156" s="251"/>
      <c r="H156" s="251"/>
    </row>
    <row r="157" spans="1:8" s="252" customFormat="1" ht="14.25" customHeight="1" x14ac:dyDescent="0.25">
      <c r="A157" s="251"/>
      <c r="B157" s="260" t="s">
        <v>857</v>
      </c>
      <c r="C157" s="333" t="s">
        <v>1190</v>
      </c>
      <c r="D157" s="247" t="s">
        <v>1192</v>
      </c>
      <c r="E157" s="247" t="s">
        <v>1191</v>
      </c>
      <c r="F157" s="251"/>
      <c r="G157" s="251"/>
      <c r="H157" s="251"/>
    </row>
    <row r="158" spans="1:8" s="252" customFormat="1" ht="14.25" customHeight="1" x14ac:dyDescent="0.25">
      <c r="A158" s="251"/>
      <c r="C158" s="247"/>
      <c r="D158" s="247"/>
      <c r="E158" s="247"/>
      <c r="F158" s="251"/>
      <c r="G158" s="251"/>
      <c r="H158" s="251"/>
    </row>
    <row r="159" spans="1:8" s="252" customFormat="1" ht="14.25" customHeight="1" x14ac:dyDescent="0.25">
      <c r="A159" s="251"/>
      <c r="B159" s="260" t="s">
        <v>858</v>
      </c>
      <c r="C159" s="247" t="s">
        <v>134</v>
      </c>
      <c r="D159" s="247" t="s">
        <v>1134</v>
      </c>
      <c r="E159" s="247" t="s">
        <v>325</v>
      </c>
      <c r="F159" s="251"/>
      <c r="G159" s="251"/>
      <c r="H159" s="251"/>
    </row>
    <row r="160" spans="1:8" s="252" customFormat="1" ht="14.25" customHeight="1" x14ac:dyDescent="0.25">
      <c r="A160" s="251"/>
      <c r="B160" s="260" t="s">
        <v>859</v>
      </c>
      <c r="C160" s="247" t="s">
        <v>327</v>
      </c>
      <c r="D160" s="247" t="s">
        <v>328</v>
      </c>
      <c r="E160" s="247" t="s">
        <v>329</v>
      </c>
      <c r="F160" s="251"/>
      <c r="G160" s="251"/>
      <c r="H160" s="251"/>
    </row>
    <row r="161" spans="1:8" s="252" customFormat="1" ht="14.25" customHeight="1" x14ac:dyDescent="0.25">
      <c r="A161" s="251"/>
      <c r="B161" s="260" t="s">
        <v>860</v>
      </c>
      <c r="C161" s="323" t="s">
        <v>1131</v>
      </c>
      <c r="D161" s="338" t="s">
        <v>1341</v>
      </c>
      <c r="E161" s="338" t="s">
        <v>1369</v>
      </c>
      <c r="F161" s="251"/>
      <c r="G161" s="251"/>
      <c r="H161" s="251"/>
    </row>
    <row r="162" spans="1:8" s="252" customFormat="1" ht="14.25" customHeight="1" x14ac:dyDescent="0.25">
      <c r="A162" s="251"/>
      <c r="B162" s="260" t="s">
        <v>861</v>
      </c>
      <c r="C162" s="323" t="s">
        <v>1132</v>
      </c>
      <c r="D162" s="338" t="s">
        <v>1342</v>
      </c>
      <c r="E162" s="338" t="s">
        <v>1370</v>
      </c>
      <c r="F162" s="251"/>
      <c r="G162" s="251"/>
      <c r="H162" s="251"/>
    </row>
    <row r="163" spans="1:8" s="252" customFormat="1" ht="14.25" customHeight="1" x14ac:dyDescent="0.25">
      <c r="A163" s="251"/>
      <c r="B163" s="260" t="s">
        <v>862</v>
      </c>
      <c r="C163" s="323" t="s">
        <v>1133</v>
      </c>
      <c r="D163" s="338" t="s">
        <v>1355</v>
      </c>
      <c r="E163" s="338" t="s">
        <v>1371</v>
      </c>
      <c r="F163" s="251"/>
      <c r="G163" s="251"/>
      <c r="H163" s="251"/>
    </row>
    <row r="164" spans="1:8" s="252" customFormat="1" ht="14.25" customHeight="1" x14ac:dyDescent="0.25">
      <c r="A164" s="251"/>
      <c r="B164" s="260" t="s">
        <v>863</v>
      </c>
      <c r="C164" s="333" t="s">
        <v>1200</v>
      </c>
      <c r="D164" s="333" t="s">
        <v>1201</v>
      </c>
      <c r="E164" s="333" t="s">
        <v>1202</v>
      </c>
      <c r="F164" s="251"/>
      <c r="G164" s="251"/>
      <c r="H164" s="251"/>
    </row>
    <row r="165" spans="1:8" s="252" customFormat="1" ht="14.25" customHeight="1" x14ac:dyDescent="0.25">
      <c r="A165" s="251"/>
      <c r="B165" s="260" t="s">
        <v>864</v>
      </c>
      <c r="C165" s="247" t="s">
        <v>335</v>
      </c>
      <c r="D165" s="305" t="s">
        <v>1112</v>
      </c>
      <c r="E165" s="247" t="s">
        <v>336</v>
      </c>
      <c r="F165" s="251"/>
      <c r="G165" s="251"/>
      <c r="H165" s="251"/>
    </row>
    <row r="166" spans="1:8" s="252" customFormat="1" ht="14.25" customHeight="1" x14ac:dyDescent="0.25">
      <c r="A166" s="251"/>
      <c r="B166" s="264"/>
      <c r="C166" s="247"/>
      <c r="D166" s="305"/>
      <c r="E166" s="247"/>
      <c r="F166" s="251"/>
      <c r="G166" s="251"/>
      <c r="H166" s="251"/>
    </row>
    <row r="167" spans="1:8" s="252" customFormat="1" ht="14.25" customHeight="1" x14ac:dyDescent="0.25">
      <c r="A167" s="251"/>
      <c r="B167" s="295" t="s">
        <v>865</v>
      </c>
      <c r="C167" s="247" t="s">
        <v>1383</v>
      </c>
      <c r="D167" s="305" t="s">
        <v>1384</v>
      </c>
      <c r="E167" s="247" t="s">
        <v>1385</v>
      </c>
      <c r="F167" s="251"/>
      <c r="G167" s="251"/>
      <c r="H167" s="251"/>
    </row>
    <row r="168" spans="1:8" s="252" customFormat="1" ht="14.25" customHeight="1" x14ac:dyDescent="0.25">
      <c r="A168" s="251"/>
      <c r="C168" s="247"/>
      <c r="D168" s="247"/>
      <c r="E168" s="247"/>
      <c r="F168" s="251"/>
      <c r="G168" s="251"/>
      <c r="H168" s="251"/>
    </row>
    <row r="169" spans="1:8" s="252" customFormat="1" ht="14.25" customHeight="1" x14ac:dyDescent="0.25">
      <c r="A169" s="251"/>
      <c r="B169" s="295" t="s">
        <v>866</v>
      </c>
      <c r="C169" s="247" t="s">
        <v>384</v>
      </c>
      <c r="D169" s="247" t="s">
        <v>385</v>
      </c>
      <c r="E169" s="247" t="s">
        <v>386</v>
      </c>
      <c r="F169" s="251"/>
      <c r="G169" s="251"/>
      <c r="H169" s="251"/>
    </row>
    <row r="170" spans="1:8" s="252" customFormat="1" ht="14.25" customHeight="1" x14ac:dyDescent="0.25">
      <c r="A170" s="251"/>
      <c r="C170" s="247"/>
      <c r="D170" s="247"/>
      <c r="E170" s="247"/>
      <c r="F170" s="251"/>
      <c r="G170" s="251"/>
      <c r="H170" s="251"/>
    </row>
    <row r="171" spans="1:8" s="252" customFormat="1" ht="14.25" customHeight="1" x14ac:dyDescent="0.25">
      <c r="A171" s="251"/>
      <c r="B171" s="295" t="s">
        <v>867</v>
      </c>
      <c r="C171" s="247" t="s">
        <v>137</v>
      </c>
      <c r="D171" s="247" t="s">
        <v>388</v>
      </c>
      <c r="E171" s="247" t="s">
        <v>389</v>
      </c>
      <c r="F171" s="251"/>
      <c r="G171" s="251"/>
      <c r="H171" s="251"/>
    </row>
    <row r="172" spans="1:8" s="252" customFormat="1" ht="14.25" customHeight="1" x14ac:dyDescent="0.25">
      <c r="A172" s="251"/>
      <c r="C172" s="247"/>
      <c r="D172" s="247"/>
      <c r="E172" s="247"/>
      <c r="F172" s="251"/>
      <c r="G172" s="251"/>
      <c r="H172" s="251"/>
    </row>
    <row r="173" spans="1:8" s="252" customFormat="1" ht="14.25" customHeight="1" x14ac:dyDescent="0.25">
      <c r="A173" s="251"/>
      <c r="B173" s="295" t="s">
        <v>868</v>
      </c>
      <c r="C173" s="247" t="s">
        <v>338</v>
      </c>
      <c r="D173" s="247" t="s">
        <v>339</v>
      </c>
      <c r="E173" s="338" t="s">
        <v>1359</v>
      </c>
      <c r="F173" s="251"/>
      <c r="G173" s="251"/>
      <c r="H173" s="251"/>
    </row>
    <row r="174" spans="1:8" s="252" customFormat="1" ht="14.25" customHeight="1" x14ac:dyDescent="0.25">
      <c r="A174" s="251"/>
      <c r="B174" s="260" t="s">
        <v>869</v>
      </c>
      <c r="C174" s="247" t="s">
        <v>135</v>
      </c>
      <c r="D174" s="247" t="s">
        <v>341</v>
      </c>
      <c r="E174" s="247" t="s">
        <v>342</v>
      </c>
      <c r="F174" s="251"/>
      <c r="G174" s="251"/>
      <c r="H174" s="251"/>
    </row>
    <row r="175" spans="1:8" s="252" customFormat="1" ht="14.25" customHeight="1" x14ac:dyDescent="0.25">
      <c r="A175" s="251"/>
      <c r="C175" s="247"/>
      <c r="D175" s="247"/>
      <c r="E175" s="247"/>
      <c r="F175" s="251"/>
      <c r="G175" s="251"/>
      <c r="H175" s="251"/>
    </row>
    <row r="176" spans="1:8" s="252" customFormat="1" ht="14.25" customHeight="1" x14ac:dyDescent="0.25">
      <c r="A176" s="251"/>
      <c r="B176" s="260" t="s">
        <v>870</v>
      </c>
      <c r="C176" s="247" t="s">
        <v>136</v>
      </c>
      <c r="D176" s="247" t="s">
        <v>344</v>
      </c>
      <c r="E176" s="247" t="s">
        <v>345</v>
      </c>
      <c r="F176" s="251"/>
      <c r="G176" s="251"/>
      <c r="H176" s="251"/>
    </row>
    <row r="177" spans="1:8" s="252" customFormat="1" ht="14.25" customHeight="1" x14ac:dyDescent="0.25">
      <c r="A177" s="251"/>
      <c r="B177" s="260" t="s">
        <v>871</v>
      </c>
      <c r="C177" s="247" t="s">
        <v>71</v>
      </c>
      <c r="D177" s="247" t="s">
        <v>347</v>
      </c>
      <c r="E177" s="290" t="s">
        <v>775</v>
      </c>
      <c r="F177" s="251"/>
      <c r="G177" s="251"/>
      <c r="H177" s="251"/>
    </row>
    <row r="178" spans="1:8" s="252" customFormat="1" ht="14.25" customHeight="1" x14ac:dyDescent="0.25">
      <c r="A178" s="251"/>
      <c r="B178" s="260" t="s">
        <v>872</v>
      </c>
      <c r="C178" s="247" t="s">
        <v>349</v>
      </c>
      <c r="D178" s="247" t="s">
        <v>350</v>
      </c>
      <c r="E178" s="247" t="s">
        <v>351</v>
      </c>
      <c r="F178" s="251"/>
      <c r="G178" s="251"/>
      <c r="H178" s="251"/>
    </row>
    <row r="179" spans="1:8" s="252" customFormat="1" ht="14.25" customHeight="1" x14ac:dyDescent="0.25">
      <c r="A179" s="251"/>
      <c r="B179" s="260" t="s">
        <v>873</v>
      </c>
      <c r="C179" s="247" t="s">
        <v>70</v>
      </c>
      <c r="D179" s="247" t="s">
        <v>72</v>
      </c>
      <c r="E179" s="247" t="s">
        <v>121</v>
      </c>
      <c r="F179" s="251"/>
      <c r="G179" s="251"/>
      <c r="H179" s="251"/>
    </row>
    <row r="180" spans="1:8" s="252" customFormat="1" ht="14.25" customHeight="1" x14ac:dyDescent="0.25">
      <c r="A180" s="251"/>
      <c r="B180" s="260" t="s">
        <v>874</v>
      </c>
      <c r="C180" s="247" t="s">
        <v>273</v>
      </c>
      <c r="D180" s="247" t="s">
        <v>274</v>
      </c>
      <c r="E180" s="338" t="s">
        <v>1372</v>
      </c>
      <c r="F180" s="251"/>
      <c r="G180" s="251"/>
      <c r="H180" s="251"/>
    </row>
    <row r="181" spans="1:8" s="252" customFormat="1" ht="14.25" customHeight="1" x14ac:dyDescent="0.25">
      <c r="A181" s="251"/>
      <c r="B181" s="260" t="s">
        <v>875</v>
      </c>
      <c r="C181" s="247" t="s">
        <v>132</v>
      </c>
      <c r="D181" s="247" t="s">
        <v>304</v>
      </c>
      <c r="E181" s="247" t="s">
        <v>305</v>
      </c>
      <c r="F181" s="251"/>
      <c r="G181" s="251"/>
      <c r="H181" s="251"/>
    </row>
    <row r="182" spans="1:8" s="252" customFormat="1" ht="14.25" customHeight="1" x14ac:dyDescent="0.25">
      <c r="A182" s="251"/>
      <c r="B182" s="260" t="s">
        <v>876</v>
      </c>
      <c r="C182" s="247" t="s">
        <v>356</v>
      </c>
      <c r="D182" s="247" t="s">
        <v>357</v>
      </c>
      <c r="E182" s="247" t="s">
        <v>325</v>
      </c>
      <c r="F182" s="251"/>
      <c r="G182" s="251"/>
      <c r="H182" s="251"/>
    </row>
    <row r="183" spans="1:8" s="252" customFormat="1" ht="14.25" customHeight="1" x14ac:dyDescent="0.25">
      <c r="A183" s="251"/>
      <c r="B183" s="264"/>
      <c r="C183" s="247"/>
      <c r="D183" s="247"/>
      <c r="E183" s="247"/>
      <c r="F183" s="251"/>
      <c r="G183" s="251"/>
      <c r="H183" s="251"/>
    </row>
    <row r="184" spans="1:8" s="252" customFormat="1" ht="14.25" customHeight="1" x14ac:dyDescent="0.25">
      <c r="A184" s="251"/>
      <c r="B184" s="260" t="s">
        <v>877</v>
      </c>
      <c r="C184" s="339" t="s">
        <v>1386</v>
      </c>
      <c r="D184" s="247" t="s">
        <v>1388</v>
      </c>
      <c r="E184" s="247" t="s">
        <v>1389</v>
      </c>
      <c r="F184" s="251"/>
      <c r="G184" s="251"/>
      <c r="H184" s="251"/>
    </row>
    <row r="185" spans="1:8" s="252" customFormat="1" ht="14.25" customHeight="1" x14ac:dyDescent="0.25">
      <c r="A185" s="251"/>
      <c r="C185" s="247"/>
      <c r="D185" s="247"/>
      <c r="E185" s="247"/>
      <c r="F185" s="251"/>
      <c r="G185" s="251"/>
      <c r="H185" s="251"/>
    </row>
    <row r="186" spans="1:8" s="252" customFormat="1" ht="14.25" customHeight="1" x14ac:dyDescent="0.25">
      <c r="A186" s="251"/>
      <c r="B186" s="260" t="s">
        <v>878</v>
      </c>
      <c r="C186" s="247" t="s">
        <v>359</v>
      </c>
      <c r="D186" s="247" t="s">
        <v>360</v>
      </c>
      <c r="E186" s="247" t="s">
        <v>361</v>
      </c>
      <c r="F186" s="251"/>
      <c r="G186" s="251"/>
      <c r="H186" s="251"/>
    </row>
    <row r="187" spans="1:8" s="252" customFormat="1" ht="14.25" customHeight="1" x14ac:dyDescent="0.25">
      <c r="A187" s="251"/>
      <c r="B187" s="260" t="s">
        <v>879</v>
      </c>
      <c r="C187" s="247" t="s">
        <v>363</v>
      </c>
      <c r="D187" s="247" t="s">
        <v>364</v>
      </c>
      <c r="E187" s="247" t="s">
        <v>365</v>
      </c>
      <c r="F187" s="251"/>
      <c r="G187" s="251"/>
      <c r="H187" s="251"/>
    </row>
    <row r="188" spans="1:8" s="252" customFormat="1" ht="14.25" customHeight="1" x14ac:dyDescent="0.25">
      <c r="A188" s="251"/>
      <c r="B188" s="260" t="s">
        <v>880</v>
      </c>
      <c r="C188" s="247" t="s">
        <v>367</v>
      </c>
      <c r="D188" s="247" t="s">
        <v>368</v>
      </c>
      <c r="E188" s="247" t="s">
        <v>369</v>
      </c>
      <c r="F188" s="251"/>
      <c r="G188" s="251"/>
      <c r="H188" s="251"/>
    </row>
    <row r="189" spans="1:8" s="252" customFormat="1" ht="14.25" customHeight="1" x14ac:dyDescent="0.25">
      <c r="A189" s="251"/>
      <c r="B189" s="295" t="s">
        <v>881</v>
      </c>
      <c r="C189" s="247" t="s">
        <v>371</v>
      </c>
      <c r="D189" s="246" t="s">
        <v>372</v>
      </c>
      <c r="E189" s="247" t="s">
        <v>373</v>
      </c>
      <c r="F189" s="251"/>
      <c r="G189" s="251"/>
      <c r="H189" s="251"/>
    </row>
    <row r="190" spans="1:8" s="252" customFormat="1" ht="14.25" customHeight="1" x14ac:dyDescent="0.25">
      <c r="A190" s="251"/>
      <c r="B190" s="295" t="s">
        <v>882</v>
      </c>
      <c r="C190" s="247" t="s">
        <v>375</v>
      </c>
      <c r="D190" s="247" t="s">
        <v>376</v>
      </c>
      <c r="E190" s="247" t="s">
        <v>377</v>
      </c>
      <c r="F190" s="251"/>
      <c r="G190" s="251"/>
      <c r="H190" s="251"/>
    </row>
    <row r="191" spans="1:8" s="252" customFormat="1" ht="14.25" customHeight="1" x14ac:dyDescent="0.25">
      <c r="A191" s="251"/>
      <c r="B191" s="260" t="s">
        <v>883</v>
      </c>
      <c r="C191" s="247" t="s">
        <v>379</v>
      </c>
      <c r="D191" s="247" t="s">
        <v>380</v>
      </c>
      <c r="E191" s="247" t="s">
        <v>381</v>
      </c>
      <c r="F191" s="251"/>
      <c r="G191" s="251"/>
      <c r="H191" s="251"/>
    </row>
    <row r="192" spans="1:8" s="252" customFormat="1" ht="14.25" customHeight="1" x14ac:dyDescent="0.25">
      <c r="A192" s="251"/>
      <c r="B192" s="260" t="s">
        <v>884</v>
      </c>
      <c r="C192" s="247" t="s">
        <v>1056</v>
      </c>
      <c r="D192" s="247" t="s">
        <v>1058</v>
      </c>
      <c r="E192" s="247" t="s">
        <v>1057</v>
      </c>
      <c r="F192" s="251"/>
      <c r="G192" s="251"/>
      <c r="H192" s="251"/>
    </row>
    <row r="193" spans="1:8" s="252" customFormat="1" ht="14.25" customHeight="1" x14ac:dyDescent="0.25">
      <c r="A193" s="251"/>
      <c r="C193" s="247"/>
      <c r="D193" s="247"/>
      <c r="E193" s="247"/>
      <c r="F193" s="251"/>
      <c r="G193" s="251"/>
      <c r="H193" s="251"/>
    </row>
    <row r="194" spans="1:8" s="252" customFormat="1" ht="14.25" customHeight="1" x14ac:dyDescent="0.25">
      <c r="A194" s="251"/>
      <c r="B194" s="260" t="s">
        <v>885</v>
      </c>
      <c r="C194" s="247" t="s">
        <v>391</v>
      </c>
      <c r="D194" s="247" t="s">
        <v>392</v>
      </c>
      <c r="E194" s="247" t="s">
        <v>393</v>
      </c>
      <c r="F194" s="251"/>
      <c r="G194" s="251"/>
      <c r="H194" s="251"/>
    </row>
    <row r="195" spans="1:8" s="252" customFormat="1" ht="14.25" customHeight="1" x14ac:dyDescent="0.25">
      <c r="A195" s="251"/>
      <c r="B195" s="260"/>
      <c r="C195" s="247"/>
      <c r="D195" s="247"/>
      <c r="E195" s="247"/>
      <c r="F195" s="251"/>
      <c r="G195" s="251"/>
      <c r="H195" s="251"/>
    </row>
    <row r="196" spans="1:8" s="252" customFormat="1" ht="14.25" customHeight="1" x14ac:dyDescent="0.25">
      <c r="A196" s="251"/>
      <c r="B196" s="260" t="s">
        <v>886</v>
      </c>
      <c r="C196" s="247" t="s">
        <v>395</v>
      </c>
      <c r="D196" s="247" t="s">
        <v>396</v>
      </c>
      <c r="E196" s="247" t="s">
        <v>397</v>
      </c>
      <c r="F196" s="251"/>
      <c r="G196" s="251"/>
      <c r="H196" s="251"/>
    </row>
    <row r="197" spans="1:8" s="252" customFormat="1" ht="14.25" customHeight="1" x14ac:dyDescent="0.25">
      <c r="A197" s="251"/>
      <c r="B197" s="260" t="s">
        <v>887</v>
      </c>
      <c r="C197" s="247" t="s">
        <v>399</v>
      </c>
      <c r="D197" s="247" t="s">
        <v>400</v>
      </c>
      <c r="E197" s="247" t="s">
        <v>401</v>
      </c>
      <c r="F197" s="251"/>
      <c r="G197" s="251"/>
      <c r="H197" s="251"/>
    </row>
    <row r="198" spans="1:8" s="252" customFormat="1" ht="14.25" customHeight="1" x14ac:dyDescent="0.25">
      <c r="A198" s="251"/>
      <c r="B198" s="260" t="s">
        <v>888</v>
      </c>
      <c r="C198" s="247" t="s">
        <v>403</v>
      </c>
      <c r="D198" s="247" t="s">
        <v>404</v>
      </c>
      <c r="E198" s="247" t="s">
        <v>405</v>
      </c>
      <c r="F198" s="251"/>
      <c r="G198" s="251"/>
      <c r="H198" s="251"/>
    </row>
    <row r="199" spans="1:8" s="252" customFormat="1" ht="14.25" customHeight="1" x14ac:dyDescent="0.25">
      <c r="A199" s="251"/>
      <c r="B199" s="260" t="s">
        <v>889</v>
      </c>
      <c r="C199" s="247" t="s">
        <v>407</v>
      </c>
      <c r="D199" s="247" t="s">
        <v>408</v>
      </c>
      <c r="E199" s="247" t="s">
        <v>409</v>
      </c>
      <c r="F199" s="251"/>
      <c r="G199" s="251"/>
      <c r="H199" s="251"/>
    </row>
    <row r="200" spans="1:8" s="252" customFormat="1" ht="14.25" customHeight="1" x14ac:dyDescent="0.25">
      <c r="A200" s="251"/>
      <c r="B200" s="260"/>
      <c r="C200" s="247"/>
      <c r="D200" s="247"/>
      <c r="E200" s="247"/>
      <c r="F200" s="251"/>
      <c r="G200" s="251"/>
      <c r="H200" s="251"/>
    </row>
    <row r="201" spans="1:8" s="252" customFormat="1" ht="14.25" customHeight="1" x14ac:dyDescent="0.25">
      <c r="A201" s="251"/>
      <c r="B201" s="260" t="s">
        <v>890</v>
      </c>
      <c r="C201" s="247" t="s">
        <v>411</v>
      </c>
      <c r="D201" s="247" t="s">
        <v>412</v>
      </c>
      <c r="E201" s="247" t="s">
        <v>413</v>
      </c>
      <c r="F201" s="251"/>
      <c r="G201" s="251"/>
      <c r="H201" s="251"/>
    </row>
    <row r="202" spans="1:8" s="252" customFormat="1" ht="14.25" customHeight="1" x14ac:dyDescent="0.25">
      <c r="A202" s="251"/>
      <c r="B202" s="260" t="s">
        <v>891</v>
      </c>
      <c r="C202" s="247" t="s">
        <v>1218</v>
      </c>
      <c r="D202" s="247" t="s">
        <v>1222</v>
      </c>
      <c r="E202" s="247" t="s">
        <v>1232</v>
      </c>
      <c r="F202" s="251"/>
      <c r="G202" s="251"/>
      <c r="H202" s="251"/>
    </row>
    <row r="203" spans="1:8" s="252" customFormat="1" ht="14.25" customHeight="1" x14ac:dyDescent="0.25">
      <c r="A203" s="251"/>
      <c r="B203" s="260" t="s">
        <v>892</v>
      </c>
      <c r="C203" s="247" t="s">
        <v>416</v>
      </c>
      <c r="D203" s="247" t="s">
        <v>417</v>
      </c>
      <c r="E203" s="247" t="s">
        <v>418</v>
      </c>
      <c r="F203" s="251"/>
      <c r="G203" s="251"/>
      <c r="H203" s="251"/>
    </row>
    <row r="204" spans="1:8" s="252" customFormat="1" ht="14.25" customHeight="1" x14ac:dyDescent="0.25">
      <c r="A204" s="251"/>
      <c r="B204" s="260" t="s">
        <v>893</v>
      </c>
      <c r="C204" s="247" t="s">
        <v>571</v>
      </c>
      <c r="D204" s="247" t="s">
        <v>1223</v>
      </c>
      <c r="E204" s="247" t="s">
        <v>1233</v>
      </c>
      <c r="F204" s="251"/>
      <c r="G204" s="251"/>
      <c r="H204" s="251"/>
    </row>
    <row r="205" spans="1:8" s="252" customFormat="1" ht="14.25" customHeight="1" x14ac:dyDescent="0.25">
      <c r="A205" s="251"/>
      <c r="B205" s="260" t="s">
        <v>894</v>
      </c>
      <c r="C205" s="247" t="s">
        <v>1219</v>
      </c>
      <c r="D205" s="247" t="s">
        <v>1224</v>
      </c>
      <c r="E205" s="247" t="s">
        <v>1234</v>
      </c>
      <c r="F205" s="251"/>
      <c r="G205" s="251"/>
      <c r="H205" s="251"/>
    </row>
    <row r="206" spans="1:8" s="252" customFormat="1" ht="14.25" customHeight="1" x14ac:dyDescent="0.25">
      <c r="A206" s="251"/>
      <c r="B206" s="335" t="s">
        <v>895</v>
      </c>
      <c r="C206" s="247" t="s">
        <v>421</v>
      </c>
      <c r="D206" s="247" t="s">
        <v>422</v>
      </c>
      <c r="E206" s="247" t="s">
        <v>423</v>
      </c>
      <c r="F206" s="251"/>
      <c r="G206" s="251"/>
      <c r="H206" s="251"/>
    </row>
    <row r="207" spans="1:8" s="252" customFormat="1" ht="14.25" customHeight="1" x14ac:dyDescent="0.25">
      <c r="A207" s="251"/>
      <c r="B207" s="335" t="s">
        <v>896</v>
      </c>
      <c r="C207" s="247" t="s">
        <v>1220</v>
      </c>
      <c r="D207" s="247" t="s">
        <v>1225</v>
      </c>
      <c r="E207" s="247" t="s">
        <v>1235</v>
      </c>
      <c r="F207" s="251"/>
      <c r="G207" s="251"/>
      <c r="H207" s="251"/>
    </row>
    <row r="208" spans="1:8" s="252" customFormat="1" ht="14.25" customHeight="1" x14ac:dyDescent="0.25">
      <c r="A208" s="251"/>
      <c r="B208" s="335" t="s">
        <v>897</v>
      </c>
      <c r="C208" s="247" t="s">
        <v>426</v>
      </c>
      <c r="D208" s="247" t="s">
        <v>427</v>
      </c>
      <c r="E208" s="247" t="s">
        <v>428</v>
      </c>
      <c r="F208" s="251"/>
      <c r="G208" s="251"/>
      <c r="H208" s="251"/>
    </row>
    <row r="209" spans="1:8" s="252" customFormat="1" ht="14.25" customHeight="1" x14ac:dyDescent="0.25">
      <c r="A209" s="251"/>
      <c r="B209" s="335" t="s">
        <v>898</v>
      </c>
      <c r="C209" s="247" t="s">
        <v>572</v>
      </c>
      <c r="D209" s="247" t="s">
        <v>1226</v>
      </c>
      <c r="E209" s="247" t="s">
        <v>1236</v>
      </c>
      <c r="F209" s="251"/>
      <c r="G209" s="251"/>
      <c r="H209" s="251"/>
    </row>
    <row r="210" spans="1:8" s="252" customFormat="1" ht="14.25" customHeight="1" x14ac:dyDescent="0.25">
      <c r="A210" s="251"/>
      <c r="B210" s="335" t="s">
        <v>899</v>
      </c>
      <c r="C210" s="247" t="s">
        <v>575</v>
      </c>
      <c r="D210" s="247" t="s">
        <v>1227</v>
      </c>
      <c r="E210" s="247" t="s">
        <v>1237</v>
      </c>
      <c r="F210" s="251"/>
      <c r="G210" s="251"/>
      <c r="H210" s="251"/>
    </row>
    <row r="211" spans="1:8" s="252" customFormat="1" ht="14.25" customHeight="1" x14ac:dyDescent="0.25">
      <c r="A211" s="251"/>
      <c r="B211" s="335" t="s">
        <v>900</v>
      </c>
      <c r="C211" s="247" t="s">
        <v>568</v>
      </c>
      <c r="D211" s="247" t="s">
        <v>1228</v>
      </c>
      <c r="E211" s="247" t="s">
        <v>1238</v>
      </c>
      <c r="F211" s="251"/>
      <c r="G211" s="251"/>
      <c r="H211" s="251"/>
    </row>
    <row r="212" spans="1:8" s="252" customFormat="1" ht="14.25" customHeight="1" x14ac:dyDescent="0.25">
      <c r="A212" s="251"/>
      <c r="B212" s="335" t="s">
        <v>901</v>
      </c>
      <c r="C212" s="247" t="s">
        <v>578</v>
      </c>
      <c r="D212" s="247" t="s">
        <v>1229</v>
      </c>
      <c r="E212" s="247" t="s">
        <v>1239</v>
      </c>
      <c r="F212" s="251"/>
      <c r="G212" s="251"/>
      <c r="H212" s="251"/>
    </row>
    <row r="213" spans="1:8" s="252" customFormat="1" ht="14.25" customHeight="1" x14ac:dyDescent="0.25">
      <c r="A213" s="251"/>
      <c r="B213" s="260" t="s">
        <v>902</v>
      </c>
      <c r="C213" s="247" t="s">
        <v>1221</v>
      </c>
      <c r="D213" s="247" t="s">
        <v>1230</v>
      </c>
      <c r="E213" s="247" t="s">
        <v>1240</v>
      </c>
      <c r="F213" s="251"/>
      <c r="G213" s="251"/>
      <c r="H213" s="251"/>
    </row>
    <row r="214" spans="1:8" s="252" customFormat="1" ht="14.25" customHeight="1" x14ac:dyDescent="0.25">
      <c r="A214" s="251"/>
      <c r="B214" s="260" t="s">
        <v>903</v>
      </c>
      <c r="C214" s="334" t="s">
        <v>597</v>
      </c>
      <c r="D214" s="247" t="s">
        <v>1231</v>
      </c>
      <c r="E214" s="247" t="s">
        <v>1241</v>
      </c>
      <c r="F214" s="251"/>
      <c r="G214" s="251"/>
      <c r="H214" s="251"/>
    </row>
    <row r="216" spans="1:8" s="252" customFormat="1" ht="14.25" customHeight="1" x14ac:dyDescent="0.25">
      <c r="A216" s="251"/>
      <c r="C216" s="247"/>
      <c r="D216" s="247"/>
      <c r="E216" s="247"/>
      <c r="F216" s="251"/>
      <c r="G216" s="251"/>
      <c r="H216" s="251"/>
    </row>
    <row r="217" spans="1:8" s="252" customFormat="1" ht="14.25" customHeight="1" x14ac:dyDescent="0.25">
      <c r="A217" s="251"/>
      <c r="B217" s="260" t="s">
        <v>904</v>
      </c>
      <c r="C217" s="247" t="s">
        <v>437</v>
      </c>
      <c r="D217" s="247" t="s">
        <v>438</v>
      </c>
      <c r="E217" s="338" t="s">
        <v>1360</v>
      </c>
      <c r="F217" s="251"/>
      <c r="G217" s="251"/>
      <c r="H217" s="251"/>
    </row>
    <row r="218" spans="1:8" s="252" customFormat="1" ht="14.25" customHeight="1" x14ac:dyDescent="0.25">
      <c r="A218" s="251"/>
      <c r="B218" s="260" t="s">
        <v>905</v>
      </c>
      <c r="C218" s="247" t="s">
        <v>440</v>
      </c>
      <c r="D218" s="247" t="s">
        <v>441</v>
      </c>
      <c r="E218" s="247" t="s">
        <v>442</v>
      </c>
      <c r="F218" s="251"/>
      <c r="G218" s="251"/>
      <c r="H218" s="251"/>
    </row>
    <row r="219" spans="1:8" s="252" customFormat="1" ht="14.25" customHeight="1" x14ac:dyDescent="0.25">
      <c r="A219" s="251"/>
      <c r="B219" s="260" t="s">
        <v>906</v>
      </c>
      <c r="C219" s="247" t="s">
        <v>444</v>
      </c>
      <c r="D219" s="247" t="s">
        <v>445</v>
      </c>
      <c r="E219" s="338" t="s">
        <v>1373</v>
      </c>
      <c r="F219" s="251"/>
      <c r="G219" s="251"/>
      <c r="H219" s="251"/>
    </row>
    <row r="220" spans="1:8" s="252" customFormat="1" ht="14.25" customHeight="1" x14ac:dyDescent="0.25">
      <c r="A220" s="251"/>
      <c r="C220" s="247"/>
      <c r="D220" s="247"/>
      <c r="E220" s="247"/>
      <c r="F220" s="251"/>
      <c r="G220" s="251"/>
      <c r="H220" s="251"/>
    </row>
    <row r="221" spans="1:8" s="252" customFormat="1" ht="14.25" customHeight="1" x14ac:dyDescent="0.25">
      <c r="A221" s="251"/>
      <c r="B221" s="260" t="s">
        <v>907</v>
      </c>
      <c r="C221" s="247" t="s">
        <v>447</v>
      </c>
      <c r="D221" s="338" t="s">
        <v>1347</v>
      </c>
      <c r="E221" s="247" t="s">
        <v>449</v>
      </c>
      <c r="F221" s="251"/>
      <c r="G221" s="251"/>
      <c r="H221" s="251"/>
    </row>
    <row r="222" spans="1:8" s="252" customFormat="1" ht="14.25" customHeight="1" x14ac:dyDescent="0.25">
      <c r="A222" s="251"/>
      <c r="C222" s="247"/>
      <c r="D222" s="247"/>
      <c r="E222" s="247"/>
      <c r="F222" s="251"/>
      <c r="G222" s="251"/>
      <c r="H222" s="251"/>
    </row>
    <row r="223" spans="1:8" s="252" customFormat="1" ht="14.25" customHeight="1" x14ac:dyDescent="0.25">
      <c r="A223" s="251"/>
      <c r="B223" s="260" t="s">
        <v>908</v>
      </c>
      <c r="C223" s="247" t="s">
        <v>451</v>
      </c>
      <c r="D223" s="338" t="s">
        <v>1343</v>
      </c>
      <c r="E223" s="247" t="s">
        <v>452</v>
      </c>
      <c r="F223" s="251"/>
      <c r="G223" s="251"/>
      <c r="H223" s="251"/>
    </row>
    <row r="224" spans="1:8" s="252" customFormat="1" ht="14.25" customHeight="1" x14ac:dyDescent="0.25">
      <c r="A224" s="251"/>
      <c r="C224" s="247"/>
      <c r="D224" s="247"/>
      <c r="E224" s="247"/>
      <c r="F224" s="251"/>
      <c r="G224" s="251"/>
      <c r="H224" s="251"/>
    </row>
    <row r="225" spans="1:8" s="252" customFormat="1" ht="14.25" customHeight="1" x14ac:dyDescent="0.25">
      <c r="A225" s="251"/>
      <c r="B225" s="260" t="s">
        <v>909</v>
      </c>
      <c r="C225" s="247" t="s">
        <v>454</v>
      </c>
      <c r="D225" s="247" t="s">
        <v>455</v>
      </c>
      <c r="E225" s="337" t="s">
        <v>1305</v>
      </c>
      <c r="F225" s="251"/>
      <c r="G225" s="251"/>
      <c r="H225" s="251"/>
    </row>
    <row r="226" spans="1:8" s="252" customFormat="1" ht="14.25" customHeight="1" x14ac:dyDescent="0.25">
      <c r="A226" s="251"/>
      <c r="B226" s="260" t="s">
        <v>910</v>
      </c>
      <c r="C226" s="247" t="s">
        <v>457</v>
      </c>
      <c r="D226" s="247" t="s">
        <v>458</v>
      </c>
      <c r="E226" s="247" t="s">
        <v>1306</v>
      </c>
      <c r="F226" s="251"/>
      <c r="G226" s="251"/>
      <c r="H226" s="251"/>
    </row>
    <row r="227" spans="1:8" s="252" customFormat="1" ht="14.25" customHeight="1" x14ac:dyDescent="0.25">
      <c r="A227" s="251"/>
      <c r="B227" s="260" t="s">
        <v>911</v>
      </c>
      <c r="C227" s="335" t="s">
        <v>1141</v>
      </c>
      <c r="D227" s="335" t="s">
        <v>1254</v>
      </c>
      <c r="E227" s="247" t="s">
        <v>1255</v>
      </c>
      <c r="F227" s="251"/>
      <c r="G227" s="251"/>
      <c r="H227" s="251"/>
    </row>
    <row r="228" spans="1:8" s="252" customFormat="1" ht="14.25" customHeight="1" x14ac:dyDescent="0.25">
      <c r="A228" s="251"/>
      <c r="B228" s="260" t="s">
        <v>912</v>
      </c>
      <c r="C228" s="338" t="s">
        <v>1317</v>
      </c>
      <c r="D228" s="338" t="s">
        <v>1374</v>
      </c>
      <c r="E228" s="338" t="s">
        <v>1375</v>
      </c>
      <c r="F228" s="251"/>
      <c r="G228" s="251"/>
      <c r="H228" s="251"/>
    </row>
    <row r="229" spans="1:8" s="252" customFormat="1" ht="14.25" customHeight="1" x14ac:dyDescent="0.25">
      <c r="A229" s="251"/>
      <c r="B229" s="260" t="s">
        <v>913</v>
      </c>
      <c r="C229" s="338" t="s">
        <v>1318</v>
      </c>
      <c r="D229" s="335" t="s">
        <v>1303</v>
      </c>
      <c r="E229" s="335" t="s">
        <v>1304</v>
      </c>
      <c r="F229" s="251"/>
      <c r="G229" s="251"/>
      <c r="H229" s="251"/>
    </row>
    <row r="230" spans="1:8" s="252" customFormat="1" ht="14.25" customHeight="1" x14ac:dyDescent="0.25">
      <c r="A230" s="251"/>
      <c r="B230" s="335" t="s">
        <v>914</v>
      </c>
      <c r="C230" s="323" t="s">
        <v>1140</v>
      </c>
      <c r="D230" s="323" t="s">
        <v>1256</v>
      </c>
      <c r="E230" s="323" t="s">
        <v>1257</v>
      </c>
      <c r="F230" s="251"/>
      <c r="G230" s="251"/>
      <c r="H230" s="251"/>
    </row>
    <row r="231" spans="1:8" s="252" customFormat="1" ht="14.25" customHeight="1" x14ac:dyDescent="0.25">
      <c r="A231" s="251"/>
      <c r="B231" s="335" t="s">
        <v>915</v>
      </c>
      <c r="C231" s="385" t="s">
        <v>1442</v>
      </c>
      <c r="D231" s="385" t="s">
        <v>1441</v>
      </c>
      <c r="E231" s="385" t="s">
        <v>1443</v>
      </c>
      <c r="F231" s="251"/>
      <c r="G231" s="251"/>
      <c r="H231" s="251"/>
    </row>
    <row r="232" spans="1:8" s="252" customFormat="1" ht="14.25" customHeight="1" x14ac:dyDescent="0.25">
      <c r="A232" s="251"/>
      <c r="B232" s="335" t="s">
        <v>916</v>
      </c>
      <c r="C232" s="247" t="s">
        <v>464</v>
      </c>
      <c r="D232" s="247" t="s">
        <v>465</v>
      </c>
      <c r="E232" s="247" t="s">
        <v>466</v>
      </c>
      <c r="F232" s="251"/>
      <c r="G232" s="251"/>
      <c r="H232" s="251"/>
    </row>
    <row r="233" spans="1:8" s="252" customFormat="1" ht="14.25" customHeight="1" x14ac:dyDescent="0.25">
      <c r="A233" s="251"/>
      <c r="C233" s="247"/>
      <c r="D233" s="247"/>
      <c r="E233" s="247"/>
      <c r="F233" s="251"/>
      <c r="G233" s="251"/>
      <c r="H233" s="251"/>
    </row>
    <row r="234" spans="1:8" s="252" customFormat="1" ht="14.25" customHeight="1" x14ac:dyDescent="0.25">
      <c r="A234" s="251"/>
      <c r="B234" s="335" t="s">
        <v>917</v>
      </c>
      <c r="C234" s="247" t="s">
        <v>468</v>
      </c>
      <c r="D234" s="247" t="s">
        <v>469</v>
      </c>
      <c r="E234" s="247" t="s">
        <v>470</v>
      </c>
      <c r="F234" s="251"/>
      <c r="G234" s="251"/>
      <c r="H234" s="251"/>
    </row>
    <row r="235" spans="1:8" s="252" customFormat="1" ht="14.25" customHeight="1" x14ac:dyDescent="0.25">
      <c r="A235" s="251"/>
      <c r="C235" s="247"/>
      <c r="D235" s="247"/>
      <c r="E235" s="247"/>
      <c r="F235" s="251"/>
      <c r="G235" s="251"/>
      <c r="H235" s="251"/>
    </row>
    <row r="236" spans="1:8" s="252" customFormat="1" ht="14.25" customHeight="1" x14ac:dyDescent="0.25">
      <c r="A236" s="251"/>
      <c r="B236" s="335" t="s">
        <v>918</v>
      </c>
      <c r="C236" s="247" t="s">
        <v>472</v>
      </c>
      <c r="D236" s="247" t="s">
        <v>473</v>
      </c>
      <c r="E236" s="247" t="s">
        <v>474</v>
      </c>
      <c r="F236" s="251"/>
      <c r="G236" s="251"/>
      <c r="H236" s="251"/>
    </row>
    <row r="237" spans="1:8" s="252" customFormat="1" ht="14.25" customHeight="1" x14ac:dyDescent="0.25">
      <c r="A237" s="251"/>
      <c r="B237" s="335" t="s">
        <v>919</v>
      </c>
      <c r="C237" s="247" t="s">
        <v>476</v>
      </c>
      <c r="D237" s="247" t="s">
        <v>477</v>
      </c>
      <c r="E237" s="247" t="s">
        <v>478</v>
      </c>
      <c r="F237" s="251"/>
      <c r="G237" s="251"/>
      <c r="H237" s="251"/>
    </row>
    <row r="238" spans="1:8" s="252" customFormat="1" ht="14.25" customHeight="1" x14ac:dyDescent="0.25">
      <c r="A238" s="251"/>
      <c r="B238" s="335" t="s">
        <v>920</v>
      </c>
      <c r="C238" s="247" t="s">
        <v>480</v>
      </c>
      <c r="D238" s="247" t="s">
        <v>388</v>
      </c>
      <c r="E238" s="247" t="s">
        <v>389</v>
      </c>
      <c r="F238" s="251"/>
      <c r="G238" s="251"/>
      <c r="H238" s="251"/>
    </row>
    <row r="239" spans="1:8" s="252" customFormat="1" ht="14.25" customHeight="1" x14ac:dyDescent="0.25">
      <c r="A239" s="251"/>
      <c r="C239" s="247"/>
      <c r="D239" s="247"/>
      <c r="E239" s="247"/>
      <c r="F239" s="251"/>
      <c r="G239" s="251"/>
      <c r="H239" s="251"/>
    </row>
    <row r="240" spans="1:8" s="252" customFormat="1" ht="14.25" customHeight="1" x14ac:dyDescent="0.25">
      <c r="A240" s="251"/>
      <c r="B240" s="335" t="s">
        <v>921</v>
      </c>
      <c r="C240" s="247" t="s">
        <v>482</v>
      </c>
      <c r="D240" s="247" t="s">
        <v>483</v>
      </c>
      <c r="E240" s="247" t="s">
        <v>484</v>
      </c>
      <c r="F240" s="251"/>
      <c r="G240" s="251"/>
      <c r="H240" s="251"/>
    </row>
    <row r="241" spans="1:8" s="252" customFormat="1" ht="14.25" customHeight="1" x14ac:dyDescent="0.25">
      <c r="A241" s="251"/>
      <c r="C241" s="247"/>
      <c r="D241" s="247"/>
      <c r="E241" s="247"/>
      <c r="F241" s="251"/>
      <c r="G241" s="251"/>
      <c r="H241" s="251"/>
    </row>
    <row r="242" spans="1:8" s="252" customFormat="1" ht="14.25" customHeight="1" x14ac:dyDescent="0.25">
      <c r="A242" s="251"/>
      <c r="B242" s="335" t="s">
        <v>922</v>
      </c>
      <c r="C242" s="247" t="s">
        <v>486</v>
      </c>
      <c r="D242" s="247" t="s">
        <v>487</v>
      </c>
      <c r="E242" s="338" t="s">
        <v>1361</v>
      </c>
      <c r="F242" s="251"/>
      <c r="G242" s="251"/>
      <c r="H242" s="251"/>
    </row>
    <row r="243" spans="1:8" s="252" customFormat="1" ht="14.25" customHeight="1" x14ac:dyDescent="0.25">
      <c r="A243" s="251"/>
      <c r="B243" s="335" t="s">
        <v>923</v>
      </c>
      <c r="C243" s="247" t="s">
        <v>489</v>
      </c>
      <c r="D243" s="247" t="s">
        <v>490</v>
      </c>
      <c r="E243" s="247" t="s">
        <v>491</v>
      </c>
      <c r="F243" s="251"/>
      <c r="G243" s="251"/>
      <c r="H243" s="251"/>
    </row>
    <row r="244" spans="1:8" s="252" customFormat="1" ht="14.25" customHeight="1" x14ac:dyDescent="0.25">
      <c r="A244" s="251"/>
      <c r="B244" s="335" t="s">
        <v>924</v>
      </c>
      <c r="C244" s="247" t="s">
        <v>493</v>
      </c>
      <c r="D244" s="247" t="s">
        <v>494</v>
      </c>
      <c r="E244" s="247" t="s">
        <v>495</v>
      </c>
      <c r="F244" s="251"/>
      <c r="G244" s="251"/>
      <c r="H244" s="251"/>
    </row>
    <row r="245" spans="1:8" s="252" customFormat="1" ht="14.25" customHeight="1" x14ac:dyDescent="0.25">
      <c r="A245" s="251"/>
      <c r="B245" s="335" t="s">
        <v>925</v>
      </c>
      <c r="C245" s="247" t="s">
        <v>497</v>
      </c>
      <c r="D245" s="247" t="s">
        <v>498</v>
      </c>
      <c r="E245" s="247" t="s">
        <v>499</v>
      </c>
      <c r="F245" s="251"/>
      <c r="G245" s="251"/>
      <c r="H245" s="251"/>
    </row>
    <row r="246" spans="1:8" s="252" customFormat="1" ht="14.25" customHeight="1" x14ac:dyDescent="0.25">
      <c r="A246" s="251"/>
      <c r="B246" s="335" t="s">
        <v>926</v>
      </c>
      <c r="C246" s="247" t="s">
        <v>501</v>
      </c>
      <c r="D246" s="247" t="s">
        <v>502</v>
      </c>
      <c r="E246" s="247" t="s">
        <v>503</v>
      </c>
      <c r="F246" s="251"/>
      <c r="G246" s="251"/>
      <c r="H246" s="251"/>
    </row>
    <row r="247" spans="1:8" s="252" customFormat="1" ht="14.25" customHeight="1" x14ac:dyDescent="0.25">
      <c r="A247" s="251"/>
      <c r="C247" s="247"/>
      <c r="D247" s="247"/>
      <c r="E247" s="247"/>
      <c r="F247" s="251"/>
      <c r="G247" s="251"/>
      <c r="H247" s="251"/>
    </row>
    <row r="248" spans="1:8" s="252" customFormat="1" ht="14.25" customHeight="1" x14ac:dyDescent="0.25">
      <c r="A248" s="251"/>
      <c r="B248" s="335" t="s">
        <v>927</v>
      </c>
      <c r="C248" s="247" t="s">
        <v>138</v>
      </c>
      <c r="D248" s="338" t="s">
        <v>1353</v>
      </c>
      <c r="E248" s="247" t="s">
        <v>729</v>
      </c>
      <c r="F248" s="251"/>
      <c r="G248" s="251"/>
      <c r="H248" s="251"/>
    </row>
    <row r="249" spans="1:8" s="252" customFormat="1" ht="14.25" customHeight="1" x14ac:dyDescent="0.25">
      <c r="A249" s="251"/>
      <c r="C249" s="247"/>
      <c r="D249" s="247"/>
      <c r="E249" s="247"/>
      <c r="F249" s="251"/>
      <c r="G249" s="251"/>
      <c r="H249" s="251"/>
    </row>
    <row r="250" spans="1:8" s="252" customFormat="1" ht="14.25" customHeight="1" x14ac:dyDescent="0.25">
      <c r="A250" s="251"/>
      <c r="B250" s="335" t="s">
        <v>928</v>
      </c>
      <c r="C250" s="247" t="s">
        <v>506</v>
      </c>
      <c r="D250" s="338" t="s">
        <v>1351</v>
      </c>
      <c r="E250" s="247" t="s">
        <v>507</v>
      </c>
      <c r="F250" s="251"/>
      <c r="G250" s="251"/>
      <c r="H250" s="251"/>
    </row>
    <row r="251" spans="1:8" s="252" customFormat="1" ht="14.25" customHeight="1" x14ac:dyDescent="0.25">
      <c r="A251" s="251"/>
      <c r="C251" s="247"/>
      <c r="D251" s="247"/>
      <c r="E251" s="247"/>
      <c r="F251" s="251"/>
      <c r="G251" s="251"/>
      <c r="H251" s="251"/>
    </row>
    <row r="252" spans="1:8" s="252" customFormat="1" ht="14.25" customHeight="1" x14ac:dyDescent="0.25">
      <c r="A252" s="251"/>
      <c r="B252" s="335" t="s">
        <v>929</v>
      </c>
      <c r="C252" s="247" t="s">
        <v>509</v>
      </c>
      <c r="D252" s="247" t="s">
        <v>510</v>
      </c>
      <c r="E252" s="247" t="s">
        <v>13</v>
      </c>
      <c r="F252" s="251"/>
      <c r="G252" s="251"/>
      <c r="H252" s="251"/>
    </row>
    <row r="253" spans="1:8" s="252" customFormat="1" ht="14.25" customHeight="1" x14ac:dyDescent="0.25">
      <c r="A253" s="251"/>
      <c r="C253" s="247"/>
      <c r="D253" s="247"/>
      <c r="E253" s="247"/>
      <c r="F253" s="251"/>
      <c r="G253" s="251"/>
      <c r="H253" s="251"/>
    </row>
    <row r="254" spans="1:8" s="252" customFormat="1" ht="14.25" customHeight="1" x14ac:dyDescent="0.25">
      <c r="A254" s="251"/>
      <c r="B254" s="335" t="s">
        <v>930</v>
      </c>
      <c r="C254" s="247" t="s">
        <v>512</v>
      </c>
      <c r="D254" s="247" t="s">
        <v>513</v>
      </c>
      <c r="E254" s="247" t="s">
        <v>514</v>
      </c>
      <c r="F254" s="251"/>
      <c r="G254" s="251"/>
      <c r="H254" s="251"/>
    </row>
    <row r="255" spans="1:8" s="252" customFormat="1" ht="14.25" customHeight="1" x14ac:dyDescent="0.25">
      <c r="A255" s="251"/>
      <c r="B255" s="335" t="s">
        <v>931</v>
      </c>
      <c r="C255" s="247" t="s">
        <v>1218</v>
      </c>
      <c r="D255" s="247" t="s">
        <v>1222</v>
      </c>
      <c r="E255" s="247" t="s">
        <v>1232</v>
      </c>
      <c r="F255" s="251"/>
      <c r="G255" s="251"/>
      <c r="H255" s="251"/>
    </row>
    <row r="256" spans="1:8" s="252" customFormat="1" ht="14.25" customHeight="1" x14ac:dyDescent="0.25">
      <c r="A256" s="251"/>
      <c r="B256" s="335" t="s">
        <v>932</v>
      </c>
      <c r="C256" s="266" t="s">
        <v>779</v>
      </c>
      <c r="D256" s="305" t="s">
        <v>1104</v>
      </c>
      <c r="E256" s="290" t="s">
        <v>1026</v>
      </c>
      <c r="F256" s="251"/>
      <c r="G256" s="251"/>
      <c r="H256" s="251"/>
    </row>
    <row r="257" spans="1:8" s="252" customFormat="1" ht="14.25" customHeight="1" x14ac:dyDescent="0.25">
      <c r="A257" s="251"/>
      <c r="B257" s="335" t="s">
        <v>933</v>
      </c>
      <c r="C257" s="247" t="s">
        <v>139</v>
      </c>
      <c r="D257" s="247" t="s">
        <v>518</v>
      </c>
      <c r="E257" s="247" t="s">
        <v>519</v>
      </c>
      <c r="F257" s="251"/>
      <c r="G257" s="251"/>
      <c r="H257" s="251"/>
    </row>
    <row r="258" spans="1:8" s="252" customFormat="1" ht="14.25" customHeight="1" x14ac:dyDescent="0.25">
      <c r="A258" s="251"/>
      <c r="B258" s="335" t="s">
        <v>934</v>
      </c>
      <c r="C258" s="247" t="s">
        <v>140</v>
      </c>
      <c r="D258" s="247" t="s">
        <v>521</v>
      </c>
      <c r="E258" s="247" t="s">
        <v>522</v>
      </c>
      <c r="F258" s="251"/>
      <c r="G258" s="251"/>
      <c r="H258" s="251"/>
    </row>
    <row r="259" spans="1:8" s="252" customFormat="1" ht="14.25" customHeight="1" x14ac:dyDescent="0.25">
      <c r="A259" s="251"/>
      <c r="B259" s="335" t="s">
        <v>935</v>
      </c>
      <c r="C259" s="247" t="s">
        <v>524</v>
      </c>
      <c r="D259" s="247" t="s">
        <v>525</v>
      </c>
      <c r="E259" s="338" t="s">
        <v>1376</v>
      </c>
      <c r="F259" s="251"/>
      <c r="G259" s="251"/>
      <c r="H259" s="251"/>
    </row>
    <row r="260" spans="1:8" s="252" customFormat="1" ht="14.25" customHeight="1" x14ac:dyDescent="0.25">
      <c r="A260" s="251"/>
      <c r="B260" s="335" t="s">
        <v>936</v>
      </c>
      <c r="C260" s="270" t="s">
        <v>1004</v>
      </c>
      <c r="D260" s="305" t="s">
        <v>1105</v>
      </c>
      <c r="E260" s="270" t="s">
        <v>1005</v>
      </c>
      <c r="F260" s="251"/>
      <c r="G260" s="251"/>
      <c r="H260" s="251"/>
    </row>
    <row r="261" spans="1:8" s="252" customFormat="1" ht="14.25" customHeight="1" x14ac:dyDescent="0.25">
      <c r="A261" s="251"/>
      <c r="B261" s="335" t="s">
        <v>937</v>
      </c>
      <c r="C261" s="247" t="s">
        <v>528</v>
      </c>
      <c r="D261" s="247" t="s">
        <v>529</v>
      </c>
      <c r="E261" s="247" t="s">
        <v>530</v>
      </c>
      <c r="F261" s="251"/>
      <c r="G261" s="251"/>
      <c r="H261" s="251"/>
    </row>
    <row r="262" spans="1:8" s="252" customFormat="1" ht="14.25" customHeight="1" x14ac:dyDescent="0.25">
      <c r="A262" s="251"/>
      <c r="B262" s="335" t="s">
        <v>938</v>
      </c>
      <c r="C262" s="247" t="s">
        <v>141</v>
      </c>
      <c r="D262" s="247" t="s">
        <v>532</v>
      </c>
      <c r="E262" s="247" t="s">
        <v>533</v>
      </c>
      <c r="F262" s="251"/>
      <c r="G262" s="251"/>
      <c r="H262" s="251"/>
    </row>
    <row r="263" spans="1:8" s="252" customFormat="1" ht="14.25" customHeight="1" x14ac:dyDescent="0.25">
      <c r="A263" s="251"/>
      <c r="B263" s="260" t="s">
        <v>939</v>
      </c>
      <c r="C263" s="247" t="s">
        <v>535</v>
      </c>
      <c r="D263" s="247" t="s">
        <v>536</v>
      </c>
      <c r="E263" s="247" t="s">
        <v>537</v>
      </c>
      <c r="F263" s="251"/>
      <c r="G263" s="251"/>
      <c r="H263" s="251"/>
    </row>
    <row r="264" spans="1:8" s="252" customFormat="1" ht="14.25" customHeight="1" x14ac:dyDescent="0.25">
      <c r="A264" s="251"/>
      <c r="B264" s="260" t="s">
        <v>940</v>
      </c>
      <c r="C264" s="247" t="s">
        <v>571</v>
      </c>
      <c r="D264" s="247" t="s">
        <v>1223</v>
      </c>
      <c r="E264" s="247" t="s">
        <v>1233</v>
      </c>
      <c r="F264" s="251"/>
      <c r="G264" s="251"/>
      <c r="H264" s="251"/>
    </row>
    <row r="265" spans="1:8" s="252" customFormat="1" ht="14.25" customHeight="1" x14ac:dyDescent="0.25">
      <c r="A265" s="251"/>
      <c r="C265" s="247"/>
      <c r="D265" s="247"/>
      <c r="E265" s="247"/>
      <c r="F265" s="251"/>
      <c r="G265" s="251"/>
      <c r="H265" s="251"/>
    </row>
    <row r="266" spans="1:8" s="252" customFormat="1" ht="14.25" customHeight="1" x14ac:dyDescent="0.25">
      <c r="A266" s="251"/>
      <c r="B266" s="260" t="s">
        <v>941</v>
      </c>
      <c r="C266" s="247" t="s">
        <v>1219</v>
      </c>
      <c r="D266" s="247" t="s">
        <v>1224</v>
      </c>
      <c r="E266" s="247" t="s">
        <v>1234</v>
      </c>
      <c r="F266" s="251"/>
      <c r="G266" s="251"/>
      <c r="H266" s="251"/>
    </row>
    <row r="267" spans="1:8" s="252" customFormat="1" ht="14.25" customHeight="1" x14ac:dyDescent="0.25">
      <c r="A267" s="251"/>
      <c r="B267" s="260" t="s">
        <v>942</v>
      </c>
      <c r="C267" s="266" t="s">
        <v>780</v>
      </c>
      <c r="D267" s="305" t="s">
        <v>1106</v>
      </c>
      <c r="E267" s="247" t="s">
        <v>540</v>
      </c>
      <c r="F267" s="251"/>
      <c r="G267" s="251"/>
      <c r="H267" s="251"/>
    </row>
    <row r="268" spans="1:8" s="252" customFormat="1" ht="14.25" customHeight="1" x14ac:dyDescent="0.25">
      <c r="A268" s="251"/>
      <c r="B268" s="260" t="s">
        <v>943</v>
      </c>
      <c r="C268" s="266" t="s">
        <v>783</v>
      </c>
      <c r="D268" s="305" t="s">
        <v>1108</v>
      </c>
      <c r="E268" s="247" t="s">
        <v>542</v>
      </c>
      <c r="F268" s="251"/>
      <c r="G268" s="251"/>
      <c r="H268" s="251"/>
    </row>
    <row r="269" spans="1:8" s="252" customFormat="1" ht="14.25" customHeight="1" x14ac:dyDescent="0.25">
      <c r="A269" s="251"/>
      <c r="B269" s="335" t="s">
        <v>944</v>
      </c>
      <c r="C269" s="247" t="s">
        <v>544</v>
      </c>
      <c r="D269" s="247" t="s">
        <v>545</v>
      </c>
      <c r="E269" s="338" t="s">
        <v>1377</v>
      </c>
      <c r="F269" s="251"/>
      <c r="G269" s="251"/>
      <c r="H269" s="251"/>
    </row>
    <row r="270" spans="1:8" s="252" customFormat="1" ht="14.25" customHeight="1" x14ac:dyDescent="0.25">
      <c r="A270" s="251"/>
      <c r="B270" s="335" t="s">
        <v>945</v>
      </c>
      <c r="C270" s="270" t="s">
        <v>1006</v>
      </c>
      <c r="D270" s="305" t="s">
        <v>1107</v>
      </c>
      <c r="E270" s="270" t="s">
        <v>1007</v>
      </c>
      <c r="F270" s="251"/>
      <c r="G270" s="251"/>
      <c r="H270" s="251"/>
    </row>
    <row r="271" spans="1:8" s="252" customFormat="1" ht="14.25" customHeight="1" x14ac:dyDescent="0.25">
      <c r="A271" s="251"/>
      <c r="B271" s="335" t="s">
        <v>946</v>
      </c>
      <c r="C271" s="247" t="s">
        <v>142</v>
      </c>
      <c r="D271" s="247" t="s">
        <v>548</v>
      </c>
      <c r="E271" s="247" t="s">
        <v>549</v>
      </c>
      <c r="F271" s="251"/>
      <c r="G271" s="251"/>
      <c r="H271" s="251"/>
    </row>
    <row r="272" spans="1:8" s="252" customFormat="1" ht="14.25" customHeight="1" x14ac:dyDescent="0.25">
      <c r="A272" s="251"/>
      <c r="B272" s="260" t="s">
        <v>947</v>
      </c>
      <c r="C272" s="247" t="s">
        <v>550</v>
      </c>
      <c r="D272" s="247" t="s">
        <v>551</v>
      </c>
      <c r="E272" s="247" t="s">
        <v>552</v>
      </c>
      <c r="F272" s="251"/>
      <c r="G272" s="251"/>
      <c r="H272" s="251"/>
    </row>
    <row r="273" spans="1:8" s="252" customFormat="1" ht="14.25" customHeight="1" x14ac:dyDescent="0.25">
      <c r="A273" s="251"/>
      <c r="B273" s="260" t="s">
        <v>948</v>
      </c>
      <c r="C273" s="247" t="s">
        <v>572</v>
      </c>
      <c r="D273" s="247" t="s">
        <v>573</v>
      </c>
      <c r="E273" s="247" t="s">
        <v>1236</v>
      </c>
      <c r="F273" s="251"/>
      <c r="G273" s="251"/>
      <c r="H273" s="251"/>
    </row>
    <row r="274" spans="1:8" s="252" customFormat="1" ht="14.25" customHeight="1" x14ac:dyDescent="0.25">
      <c r="A274" s="251"/>
      <c r="C274" s="247"/>
      <c r="D274" s="247"/>
      <c r="E274" s="247"/>
      <c r="F274" s="251"/>
      <c r="G274" s="251"/>
      <c r="H274" s="251"/>
    </row>
    <row r="275" spans="1:8" s="252" customFormat="1" ht="14.25" customHeight="1" x14ac:dyDescent="0.25">
      <c r="A275" s="251"/>
      <c r="B275" s="260" t="s">
        <v>949</v>
      </c>
      <c r="C275" s="247" t="s">
        <v>1220</v>
      </c>
      <c r="D275" s="247" t="s">
        <v>1225</v>
      </c>
      <c r="E275" s="247" t="s">
        <v>1235</v>
      </c>
      <c r="F275" s="251"/>
      <c r="G275" s="251"/>
      <c r="H275" s="251"/>
    </row>
    <row r="276" spans="1:8" s="252" customFormat="1" ht="14.25" customHeight="1" x14ac:dyDescent="0.25">
      <c r="A276" s="251"/>
      <c r="B276" s="260" t="s">
        <v>950</v>
      </c>
      <c r="C276" s="266" t="s">
        <v>781</v>
      </c>
      <c r="D276" s="305" t="s">
        <v>1109</v>
      </c>
      <c r="E276" s="247" t="s">
        <v>555</v>
      </c>
      <c r="F276" s="251"/>
      <c r="G276" s="251"/>
      <c r="H276" s="251"/>
    </row>
    <row r="277" spans="1:8" s="252" customFormat="1" ht="14.25" customHeight="1" x14ac:dyDescent="0.25">
      <c r="A277" s="251"/>
      <c r="B277" s="260" t="s">
        <v>951</v>
      </c>
      <c r="C277" s="270" t="s">
        <v>1010</v>
      </c>
      <c r="D277" s="305" t="s">
        <v>1116</v>
      </c>
      <c r="E277" s="270" t="s">
        <v>1012</v>
      </c>
      <c r="F277" s="251"/>
      <c r="G277" s="251"/>
      <c r="H277" s="251"/>
    </row>
    <row r="278" spans="1:8" s="252" customFormat="1" ht="14.25" customHeight="1" x14ac:dyDescent="0.25">
      <c r="A278" s="251"/>
      <c r="B278" s="270" t="s">
        <v>952</v>
      </c>
      <c r="C278" s="266" t="s">
        <v>1011</v>
      </c>
      <c r="D278" s="324" t="s">
        <v>1114</v>
      </c>
      <c r="E278" s="270" t="s">
        <v>1013</v>
      </c>
      <c r="F278" s="251"/>
      <c r="G278" s="251"/>
      <c r="H278" s="251"/>
    </row>
    <row r="279" spans="1:8" s="252" customFormat="1" ht="14.25" customHeight="1" x14ac:dyDescent="0.25">
      <c r="A279" s="251"/>
      <c r="B279" s="335" t="s">
        <v>953</v>
      </c>
      <c r="C279" s="266" t="s">
        <v>782</v>
      </c>
      <c r="D279" s="305" t="s">
        <v>1115</v>
      </c>
      <c r="E279" s="305" t="s">
        <v>1113</v>
      </c>
      <c r="F279" s="251"/>
      <c r="G279" s="251"/>
      <c r="H279" s="251"/>
    </row>
    <row r="280" spans="1:8" s="252" customFormat="1" ht="14.25" customHeight="1" x14ac:dyDescent="0.25">
      <c r="A280" s="251"/>
      <c r="B280" s="335" t="s">
        <v>954</v>
      </c>
      <c r="C280" s="247" t="s">
        <v>558</v>
      </c>
      <c r="D280" s="319" t="s">
        <v>1121</v>
      </c>
      <c r="E280" s="338" t="s">
        <v>1378</v>
      </c>
      <c r="F280" s="251"/>
      <c r="G280" s="251"/>
      <c r="H280" s="251"/>
    </row>
    <row r="281" spans="1:8" s="252" customFormat="1" ht="14.25" customHeight="1" x14ac:dyDescent="0.25">
      <c r="A281" s="251"/>
      <c r="B281" s="335" t="s">
        <v>955</v>
      </c>
      <c r="C281" s="270" t="s">
        <v>1008</v>
      </c>
      <c r="D281" s="305" t="s">
        <v>1110</v>
      </c>
      <c r="E281" s="270" t="s">
        <v>1009</v>
      </c>
      <c r="F281" s="251"/>
      <c r="G281" s="251"/>
      <c r="H281" s="251"/>
    </row>
    <row r="282" spans="1:8" s="252" customFormat="1" ht="14.25" customHeight="1" x14ac:dyDescent="0.25">
      <c r="A282" s="251"/>
      <c r="B282" s="335" t="s">
        <v>956</v>
      </c>
      <c r="C282" s="305" t="s">
        <v>143</v>
      </c>
      <c r="D282" s="305" t="s">
        <v>561</v>
      </c>
      <c r="E282" s="247" t="s">
        <v>562</v>
      </c>
      <c r="F282" s="251"/>
      <c r="G282" s="251"/>
      <c r="H282" s="251"/>
    </row>
    <row r="283" spans="1:8" s="252" customFormat="1" ht="14.25" customHeight="1" x14ac:dyDescent="0.25">
      <c r="A283" s="251"/>
      <c r="B283" s="335" t="s">
        <v>957</v>
      </c>
      <c r="C283" s="247" t="s">
        <v>564</v>
      </c>
      <c r="D283" s="247" t="s">
        <v>565</v>
      </c>
      <c r="E283" s="247" t="s">
        <v>566</v>
      </c>
      <c r="F283" s="251"/>
      <c r="G283" s="251"/>
      <c r="H283" s="251"/>
    </row>
    <row r="284" spans="1:8" s="252" customFormat="1" ht="14.25" customHeight="1" x14ac:dyDescent="0.25">
      <c r="A284" s="251"/>
      <c r="B284" s="270" t="s">
        <v>958</v>
      </c>
      <c r="C284" s="247" t="s">
        <v>575</v>
      </c>
      <c r="D284" s="247" t="s">
        <v>576</v>
      </c>
      <c r="E284" s="247" t="s">
        <v>1237</v>
      </c>
      <c r="F284" s="251"/>
      <c r="G284" s="251"/>
      <c r="H284" s="251"/>
    </row>
    <row r="285" spans="1:8" s="252" customFormat="1" ht="14.25" customHeight="1" x14ac:dyDescent="0.25">
      <c r="A285" s="251"/>
      <c r="C285" s="247"/>
      <c r="D285" s="247"/>
      <c r="E285" s="247"/>
      <c r="F285" s="251"/>
      <c r="G285" s="251"/>
      <c r="H285" s="251"/>
    </row>
    <row r="286" spans="1:8" s="252" customFormat="1" ht="14.25" customHeight="1" x14ac:dyDescent="0.25">
      <c r="A286" s="251"/>
      <c r="B286" s="260" t="s">
        <v>959</v>
      </c>
      <c r="C286" s="247" t="s">
        <v>568</v>
      </c>
      <c r="D286" s="338" t="s">
        <v>1354</v>
      </c>
      <c r="E286" s="337" t="s">
        <v>1238</v>
      </c>
      <c r="F286" s="251"/>
      <c r="G286" s="251"/>
      <c r="H286" s="251"/>
    </row>
    <row r="287" spans="1:8" s="252" customFormat="1" ht="14.25" customHeight="1" x14ac:dyDescent="0.25">
      <c r="A287" s="251"/>
      <c r="B287" s="260" t="s">
        <v>960</v>
      </c>
      <c r="C287" s="247" t="s">
        <v>578</v>
      </c>
      <c r="D287" s="247" t="s">
        <v>579</v>
      </c>
      <c r="E287" s="247" t="s">
        <v>1239</v>
      </c>
      <c r="F287" s="251"/>
      <c r="G287" s="251"/>
      <c r="H287" s="251"/>
    </row>
    <row r="288" spans="1:8" s="252" customFormat="1" ht="14.25" customHeight="1" x14ac:dyDescent="0.25">
      <c r="A288" s="251"/>
      <c r="C288" s="247"/>
      <c r="D288" s="247"/>
      <c r="E288" s="247"/>
      <c r="F288" s="251"/>
      <c r="G288" s="251"/>
      <c r="H288" s="251"/>
    </row>
    <row r="289" spans="1:8" s="252" customFormat="1" ht="14.25" customHeight="1" x14ac:dyDescent="0.25">
      <c r="A289" s="251"/>
      <c r="B289" s="260" t="s">
        <v>961</v>
      </c>
      <c r="C289" s="247" t="s">
        <v>581</v>
      </c>
      <c r="D289" s="247" t="s">
        <v>582</v>
      </c>
      <c r="E289" s="338" t="s">
        <v>1381</v>
      </c>
      <c r="F289" s="251"/>
      <c r="G289" s="251"/>
      <c r="H289" s="251"/>
    </row>
    <row r="290" spans="1:8" s="252" customFormat="1" ht="14.25" customHeight="1" x14ac:dyDescent="0.25">
      <c r="A290" s="251"/>
      <c r="B290" s="260" t="s">
        <v>962</v>
      </c>
      <c r="C290" s="247" t="s">
        <v>584</v>
      </c>
      <c r="D290" s="247" t="s">
        <v>585</v>
      </c>
      <c r="E290" s="247" t="s">
        <v>586</v>
      </c>
      <c r="F290" s="251"/>
      <c r="G290" s="251"/>
      <c r="H290" s="251"/>
    </row>
    <row r="291" spans="1:8" s="252" customFormat="1" ht="14.25" customHeight="1" x14ac:dyDescent="0.25">
      <c r="A291" s="251"/>
      <c r="B291" s="270" t="s">
        <v>963</v>
      </c>
      <c r="C291" s="247" t="s">
        <v>588</v>
      </c>
      <c r="D291" s="247" t="s">
        <v>589</v>
      </c>
      <c r="E291" s="247" t="s">
        <v>590</v>
      </c>
      <c r="F291" s="251"/>
      <c r="G291" s="251"/>
      <c r="H291" s="251"/>
    </row>
    <row r="292" spans="1:8" s="252" customFormat="1" ht="14.25" customHeight="1" x14ac:dyDescent="0.25">
      <c r="A292" s="251"/>
      <c r="B292" s="270" t="s">
        <v>964</v>
      </c>
      <c r="C292" s="247" t="s">
        <v>592</v>
      </c>
      <c r="D292" s="247" t="s">
        <v>593</v>
      </c>
      <c r="E292" s="247" t="s">
        <v>594</v>
      </c>
      <c r="F292" s="251"/>
      <c r="G292" s="251"/>
      <c r="H292" s="251"/>
    </row>
    <row r="293" spans="1:8" s="252" customFormat="1" ht="14.25" customHeight="1" x14ac:dyDescent="0.25">
      <c r="A293" s="251"/>
      <c r="B293" s="260" t="s">
        <v>965</v>
      </c>
      <c r="C293" s="247" t="s">
        <v>588</v>
      </c>
      <c r="D293" s="247" t="s">
        <v>589</v>
      </c>
      <c r="E293" s="247" t="s">
        <v>590</v>
      </c>
      <c r="F293" s="251"/>
      <c r="G293" s="251"/>
      <c r="H293" s="251"/>
    </row>
    <row r="294" spans="1:8" s="252" customFormat="1" ht="14.25" customHeight="1" x14ac:dyDescent="0.25">
      <c r="A294" s="251"/>
      <c r="B294" s="260" t="s">
        <v>966</v>
      </c>
      <c r="C294" s="339" t="s">
        <v>1394</v>
      </c>
      <c r="D294" s="339" t="s">
        <v>1395</v>
      </c>
      <c r="E294" s="339" t="s">
        <v>1396</v>
      </c>
      <c r="F294" s="251"/>
      <c r="G294" s="251"/>
      <c r="H294" s="251"/>
    </row>
    <row r="295" spans="1:8" s="252" customFormat="1" ht="14.25" customHeight="1" x14ac:dyDescent="0.25">
      <c r="A295" s="251"/>
      <c r="B295" s="270" t="s">
        <v>967</v>
      </c>
      <c r="C295" s="247" t="s">
        <v>597</v>
      </c>
      <c r="D295" s="247" t="s">
        <v>598</v>
      </c>
      <c r="E295" s="247" t="s">
        <v>1241</v>
      </c>
      <c r="F295" s="251"/>
      <c r="G295" s="251"/>
      <c r="H295" s="251"/>
    </row>
    <row r="296" spans="1:8" s="252" customFormat="1" ht="14.25" customHeight="1" x14ac:dyDescent="0.25">
      <c r="A296" s="251"/>
      <c r="C296" s="247"/>
      <c r="D296" s="247"/>
      <c r="E296" s="247"/>
      <c r="F296" s="251"/>
      <c r="G296" s="251"/>
      <c r="H296" s="251"/>
    </row>
    <row r="297" spans="1:8" s="252" customFormat="1" ht="14.25" customHeight="1" x14ac:dyDescent="0.25">
      <c r="A297" s="251"/>
      <c r="B297" s="270" t="s">
        <v>968</v>
      </c>
      <c r="C297" s="247" t="s">
        <v>600</v>
      </c>
      <c r="D297" s="247" t="s">
        <v>601</v>
      </c>
      <c r="E297" s="247" t="s">
        <v>602</v>
      </c>
      <c r="F297" s="251"/>
      <c r="G297" s="251"/>
      <c r="H297" s="251"/>
    </row>
    <row r="298" spans="1:8" s="252" customFormat="1" ht="14.25" customHeight="1" x14ac:dyDescent="0.25">
      <c r="A298" s="251"/>
      <c r="B298" s="270" t="s">
        <v>969</v>
      </c>
      <c r="C298" s="247" t="s">
        <v>604</v>
      </c>
      <c r="D298" s="247" t="s">
        <v>605</v>
      </c>
      <c r="E298" s="247" t="s">
        <v>606</v>
      </c>
      <c r="F298" s="251"/>
      <c r="G298" s="251"/>
      <c r="H298" s="251"/>
    </row>
    <row r="299" spans="1:8" s="252" customFormat="1" ht="14.25" customHeight="1" x14ac:dyDescent="0.25">
      <c r="A299" s="251"/>
      <c r="B299" s="260" t="s">
        <v>970</v>
      </c>
      <c r="C299" s="247" t="s">
        <v>608</v>
      </c>
      <c r="D299" s="247" t="s">
        <v>609</v>
      </c>
      <c r="E299" s="247" t="s">
        <v>610</v>
      </c>
      <c r="F299" s="251"/>
      <c r="G299" s="251"/>
      <c r="H299" s="251"/>
    </row>
    <row r="300" spans="1:8" s="252" customFormat="1" ht="14.25" customHeight="1" x14ac:dyDescent="0.25">
      <c r="A300" s="251"/>
      <c r="B300" s="260" t="s">
        <v>971</v>
      </c>
      <c r="C300" s="247" t="s">
        <v>612</v>
      </c>
      <c r="D300" s="247" t="s">
        <v>613</v>
      </c>
      <c r="E300" s="247" t="s">
        <v>614</v>
      </c>
      <c r="F300" s="251"/>
      <c r="G300" s="251"/>
      <c r="H300" s="251"/>
    </row>
    <row r="301" spans="1:8" s="252" customFormat="1" ht="14.25" customHeight="1" x14ac:dyDescent="0.25">
      <c r="A301" s="251"/>
      <c r="C301" s="247"/>
      <c r="D301" s="247"/>
      <c r="E301" s="247"/>
      <c r="F301" s="251"/>
      <c r="G301" s="251"/>
      <c r="H301" s="251"/>
    </row>
    <row r="302" spans="1:8" s="252" customFormat="1" ht="14.25" customHeight="1" x14ac:dyDescent="0.25">
      <c r="A302" s="251"/>
      <c r="B302" s="260" t="s">
        <v>972</v>
      </c>
      <c r="C302" s="247" t="s">
        <v>616</v>
      </c>
      <c r="D302" s="247" t="s">
        <v>617</v>
      </c>
      <c r="E302" s="247" t="s">
        <v>618</v>
      </c>
      <c r="F302" s="251"/>
      <c r="G302" s="251"/>
      <c r="H302" s="251"/>
    </row>
    <row r="303" spans="1:8" s="252" customFormat="1" ht="14.25" customHeight="1" x14ac:dyDescent="0.25">
      <c r="A303" s="251"/>
      <c r="C303" s="247"/>
      <c r="D303" s="247"/>
      <c r="E303" s="247"/>
      <c r="F303" s="251"/>
      <c r="G303" s="251"/>
      <c r="H303" s="251"/>
    </row>
    <row r="304" spans="1:8" s="252" customFormat="1" ht="14.25" customHeight="1" x14ac:dyDescent="0.25">
      <c r="A304" s="251"/>
      <c r="B304" s="260" t="s">
        <v>973</v>
      </c>
      <c r="C304" s="247" t="s">
        <v>620</v>
      </c>
      <c r="D304" s="338" t="s">
        <v>1345</v>
      </c>
      <c r="E304" s="247" t="s">
        <v>621</v>
      </c>
      <c r="F304" s="251"/>
      <c r="G304" s="251"/>
      <c r="H304" s="251"/>
    </row>
    <row r="305" spans="1:8" s="252" customFormat="1" ht="14.25" customHeight="1" x14ac:dyDescent="0.25">
      <c r="A305" s="251"/>
      <c r="B305" s="260" t="s">
        <v>974</v>
      </c>
      <c r="C305" s="247" t="s">
        <v>363</v>
      </c>
      <c r="D305" s="247" t="s">
        <v>364</v>
      </c>
      <c r="E305" s="247" t="s">
        <v>365</v>
      </c>
      <c r="F305" s="251"/>
      <c r="G305" s="251"/>
      <c r="H305" s="251"/>
    </row>
    <row r="306" spans="1:8" s="252" customFormat="1" ht="14.25" customHeight="1" x14ac:dyDescent="0.25">
      <c r="A306" s="251"/>
      <c r="B306" s="270" t="s">
        <v>975</v>
      </c>
      <c r="C306" s="247" t="s">
        <v>367</v>
      </c>
      <c r="D306" s="247" t="s">
        <v>368</v>
      </c>
      <c r="E306" s="247" t="s">
        <v>369</v>
      </c>
      <c r="F306" s="251"/>
      <c r="G306" s="251"/>
      <c r="H306" s="251"/>
    </row>
    <row r="307" spans="1:8" s="252" customFormat="1" ht="14.25" customHeight="1" x14ac:dyDescent="0.25">
      <c r="A307" s="251"/>
      <c r="B307" s="270" t="s">
        <v>976</v>
      </c>
      <c r="C307" s="247" t="s">
        <v>371</v>
      </c>
      <c r="D307" s="247" t="s">
        <v>372</v>
      </c>
      <c r="E307" s="247" t="s">
        <v>373</v>
      </c>
      <c r="F307" s="251"/>
      <c r="G307" s="251"/>
      <c r="H307" s="251"/>
    </row>
    <row r="308" spans="1:8" s="252" customFormat="1" ht="14.25" customHeight="1" x14ac:dyDescent="0.25">
      <c r="A308" s="251"/>
      <c r="B308" s="270" t="s">
        <v>977</v>
      </c>
      <c r="C308" s="247" t="s">
        <v>375</v>
      </c>
      <c r="D308" s="247" t="s">
        <v>376</v>
      </c>
      <c r="E308" s="247" t="s">
        <v>377</v>
      </c>
      <c r="F308" s="251"/>
      <c r="G308" s="251"/>
      <c r="H308" s="251"/>
    </row>
    <row r="309" spans="1:8" s="252" customFormat="1" ht="14.25" customHeight="1" x14ac:dyDescent="0.25">
      <c r="A309" s="251"/>
      <c r="B309" s="270" t="s">
        <v>978</v>
      </c>
      <c r="C309" s="247" t="s">
        <v>627</v>
      </c>
      <c r="D309" s="247" t="s">
        <v>380</v>
      </c>
      <c r="E309" s="247" t="s">
        <v>628</v>
      </c>
      <c r="F309" s="251"/>
      <c r="G309" s="251"/>
      <c r="H309" s="251"/>
    </row>
    <row r="310" spans="1:8" s="252" customFormat="1" ht="14.25" customHeight="1" x14ac:dyDescent="0.25">
      <c r="A310" s="251"/>
      <c r="B310" s="260" t="s">
        <v>979</v>
      </c>
      <c r="C310" s="247" t="s">
        <v>1056</v>
      </c>
      <c r="D310" s="247" t="s">
        <v>1058</v>
      </c>
      <c r="E310" s="247" t="s">
        <v>1057</v>
      </c>
      <c r="F310" s="251"/>
      <c r="G310" s="251"/>
      <c r="H310" s="251"/>
    </row>
    <row r="311" spans="1:8" s="252" customFormat="1" ht="14.25" customHeight="1" x14ac:dyDescent="0.25">
      <c r="A311" s="251"/>
      <c r="C311" s="247"/>
      <c r="D311" s="247"/>
      <c r="E311" s="247"/>
      <c r="F311" s="251"/>
      <c r="G311" s="251"/>
      <c r="H311" s="251"/>
    </row>
    <row r="312" spans="1:8" s="252" customFormat="1" ht="14.25" customHeight="1" x14ac:dyDescent="0.25">
      <c r="A312" s="251"/>
      <c r="B312" s="270" t="s">
        <v>980</v>
      </c>
      <c r="C312" s="247" t="s">
        <v>631</v>
      </c>
      <c r="D312" s="247" t="s">
        <v>632</v>
      </c>
      <c r="E312" s="338" t="s">
        <v>1364</v>
      </c>
      <c r="F312" s="251"/>
      <c r="G312" s="251"/>
      <c r="H312" s="251"/>
    </row>
    <row r="313" spans="1:8" s="252" customFormat="1" ht="14.25" customHeight="1" x14ac:dyDescent="0.25">
      <c r="A313" s="251"/>
      <c r="C313" s="247"/>
      <c r="D313" s="247"/>
      <c r="E313" s="247"/>
      <c r="F313" s="251"/>
      <c r="G313" s="251"/>
      <c r="H313" s="251"/>
    </row>
    <row r="314" spans="1:8" s="252" customFormat="1" ht="14.25" customHeight="1" x14ac:dyDescent="0.25">
      <c r="A314" s="251"/>
      <c r="B314" s="270" t="s">
        <v>981</v>
      </c>
      <c r="C314" s="247" t="s">
        <v>634</v>
      </c>
      <c r="D314" s="247" t="s">
        <v>635</v>
      </c>
      <c r="E314" s="247" t="s">
        <v>636</v>
      </c>
      <c r="F314" s="251"/>
      <c r="G314" s="251"/>
      <c r="H314" s="251"/>
    </row>
    <row r="315" spans="1:8" s="252" customFormat="1" ht="14.25" customHeight="1" x14ac:dyDescent="0.25">
      <c r="A315" s="251"/>
      <c r="B315" s="378" t="s">
        <v>982</v>
      </c>
      <c r="C315" s="247" t="s">
        <v>639</v>
      </c>
      <c r="D315" s="247" t="s">
        <v>640</v>
      </c>
      <c r="E315" s="247" t="s">
        <v>641</v>
      </c>
      <c r="F315" s="251"/>
      <c r="G315" s="251"/>
      <c r="H315" s="251"/>
    </row>
    <row r="316" spans="1:8" s="252" customFormat="1" ht="14.25" customHeight="1" x14ac:dyDescent="0.25">
      <c r="A316" s="251"/>
      <c r="B316" s="378" t="s">
        <v>983</v>
      </c>
      <c r="C316" s="247" t="s">
        <v>643</v>
      </c>
      <c r="D316" s="247" t="s">
        <v>644</v>
      </c>
      <c r="E316" s="247" t="s">
        <v>645</v>
      </c>
      <c r="F316" s="251"/>
      <c r="G316" s="251"/>
      <c r="H316" s="251"/>
    </row>
    <row r="317" spans="1:8" s="252" customFormat="1" ht="14.25" customHeight="1" x14ac:dyDescent="0.25">
      <c r="A317" s="251"/>
      <c r="C317" s="247"/>
      <c r="D317" s="247"/>
      <c r="E317" s="247"/>
      <c r="F317" s="251"/>
      <c r="G317" s="251"/>
      <c r="H317" s="251"/>
    </row>
    <row r="318" spans="1:8" s="252" customFormat="1" ht="14.25" customHeight="1" x14ac:dyDescent="0.25">
      <c r="A318" s="251"/>
      <c r="B318" s="378" t="s">
        <v>984</v>
      </c>
      <c r="C318" s="247" t="s">
        <v>647</v>
      </c>
      <c r="D318" s="247" t="s">
        <v>648</v>
      </c>
      <c r="E318" s="247" t="s">
        <v>649</v>
      </c>
      <c r="F318" s="251"/>
      <c r="G318" s="251"/>
      <c r="H318" s="251"/>
    </row>
    <row r="319" spans="1:8" s="252" customFormat="1" ht="14.25" customHeight="1" x14ac:dyDescent="0.25">
      <c r="A319" s="251"/>
      <c r="B319" s="378" t="s">
        <v>985</v>
      </c>
      <c r="C319" s="247" t="s">
        <v>651</v>
      </c>
      <c r="D319" s="247" t="s">
        <v>652</v>
      </c>
      <c r="E319" s="247" t="s">
        <v>653</v>
      </c>
      <c r="F319" s="251"/>
      <c r="G319" s="251"/>
      <c r="H319" s="251"/>
    </row>
    <row r="320" spans="1:8" s="252" customFormat="1" ht="14.25" customHeight="1" x14ac:dyDescent="0.25">
      <c r="A320" s="251"/>
      <c r="B320" s="378" t="s">
        <v>986</v>
      </c>
      <c r="C320" s="247" t="s">
        <v>655</v>
      </c>
      <c r="D320" s="247" t="s">
        <v>656</v>
      </c>
      <c r="E320" s="247" t="s">
        <v>657</v>
      </c>
      <c r="F320" s="251"/>
      <c r="G320" s="251"/>
      <c r="H320" s="251"/>
    </row>
    <row r="321" spans="1:8" s="252" customFormat="1" ht="14.25" customHeight="1" x14ac:dyDescent="0.25">
      <c r="A321" s="251"/>
      <c r="C321" s="247"/>
      <c r="D321" s="247"/>
      <c r="E321" s="247"/>
      <c r="F321" s="251"/>
      <c r="G321" s="251"/>
      <c r="H321" s="251"/>
    </row>
    <row r="322" spans="1:8" s="252" customFormat="1" ht="14.25" customHeight="1" x14ac:dyDescent="0.25">
      <c r="A322" s="251"/>
      <c r="B322" s="378" t="s">
        <v>987</v>
      </c>
      <c r="C322" s="327" t="s">
        <v>1135</v>
      </c>
      <c r="D322" s="338" t="s">
        <v>1346</v>
      </c>
      <c r="E322" s="338" t="s">
        <v>1362</v>
      </c>
      <c r="F322" s="251"/>
      <c r="G322" s="251"/>
      <c r="H322" s="251"/>
    </row>
    <row r="323" spans="1:8" s="252" customFormat="1" ht="14.25" customHeight="1" x14ac:dyDescent="0.25">
      <c r="A323" s="251"/>
      <c r="B323" s="378" t="s">
        <v>988</v>
      </c>
      <c r="C323" s="327" t="s">
        <v>1142</v>
      </c>
      <c r="D323" s="247" t="s">
        <v>1284</v>
      </c>
      <c r="E323" s="247" t="s">
        <v>1285</v>
      </c>
      <c r="F323" s="251"/>
      <c r="G323" s="251"/>
      <c r="H323" s="251"/>
    </row>
    <row r="324" spans="1:8" s="252" customFormat="1" ht="14.25" customHeight="1" x14ac:dyDescent="0.25">
      <c r="A324" s="251"/>
      <c r="B324" s="378" t="s">
        <v>989</v>
      </c>
      <c r="C324" s="247" t="s">
        <v>501</v>
      </c>
      <c r="D324" s="247" t="s">
        <v>660</v>
      </c>
      <c r="E324" s="247" t="s">
        <v>503</v>
      </c>
      <c r="F324" s="251"/>
      <c r="G324" s="251"/>
      <c r="H324" s="251"/>
    </row>
    <row r="325" spans="1:8" s="252" customFormat="1" ht="14.25" customHeight="1" x14ac:dyDescent="0.25">
      <c r="A325" s="251"/>
      <c r="C325" s="247"/>
      <c r="D325" s="247"/>
      <c r="E325" s="247"/>
      <c r="F325" s="251"/>
      <c r="G325" s="251"/>
      <c r="H325" s="251"/>
    </row>
    <row r="326" spans="1:8" s="252" customFormat="1" ht="14.25" customHeight="1" x14ac:dyDescent="0.25">
      <c r="A326" s="251"/>
      <c r="B326" s="378" t="s">
        <v>990</v>
      </c>
      <c r="C326" s="247" t="s">
        <v>662</v>
      </c>
      <c r="D326" s="247" t="s">
        <v>663</v>
      </c>
      <c r="E326" s="338" t="s">
        <v>1363</v>
      </c>
      <c r="F326" s="251"/>
      <c r="G326" s="251"/>
      <c r="H326" s="251"/>
    </row>
    <row r="327" spans="1:8" s="252" customFormat="1" ht="14.25" customHeight="1" x14ac:dyDescent="0.25">
      <c r="A327" s="251"/>
      <c r="B327" s="378" t="s">
        <v>991</v>
      </c>
      <c r="C327" s="247" t="s">
        <v>665</v>
      </c>
      <c r="D327" s="247" t="s">
        <v>666</v>
      </c>
      <c r="E327" s="338" t="s">
        <v>1379</v>
      </c>
      <c r="F327" s="251"/>
      <c r="G327" s="251"/>
      <c r="H327" s="251"/>
    </row>
    <row r="328" spans="1:8" s="252" customFormat="1" ht="14.25" customHeight="1" x14ac:dyDescent="0.25">
      <c r="A328" s="251"/>
      <c r="B328" s="378" t="s">
        <v>992</v>
      </c>
      <c r="C328" s="247" t="s">
        <v>668</v>
      </c>
      <c r="D328" s="247" t="s">
        <v>1344</v>
      </c>
      <c r="E328" s="338" t="s">
        <v>1380</v>
      </c>
      <c r="F328" s="251"/>
      <c r="G328" s="251"/>
      <c r="H328" s="251"/>
    </row>
    <row r="329" spans="1:8" s="252" customFormat="1" ht="14.25" customHeight="1" x14ac:dyDescent="0.25">
      <c r="A329" s="251"/>
      <c r="B329" s="378" t="s">
        <v>993</v>
      </c>
      <c r="C329" s="247" t="s">
        <v>670</v>
      </c>
      <c r="D329" s="247" t="s">
        <v>671</v>
      </c>
      <c r="E329" s="247" t="s">
        <v>672</v>
      </c>
      <c r="F329" s="251"/>
      <c r="G329" s="251"/>
      <c r="H329" s="251"/>
    </row>
    <row r="330" spans="1:8" s="252" customFormat="1" ht="14.25" customHeight="1" x14ac:dyDescent="0.25">
      <c r="A330" s="251"/>
      <c r="B330" s="378" t="s">
        <v>994</v>
      </c>
      <c r="C330" s="247" t="s">
        <v>674</v>
      </c>
      <c r="D330" s="247" t="s">
        <v>675</v>
      </c>
      <c r="E330" s="247" t="s">
        <v>676</v>
      </c>
      <c r="F330" s="251"/>
      <c r="G330" s="251"/>
      <c r="H330" s="251"/>
    </row>
    <row r="331" spans="1:8" s="252" customFormat="1" ht="14.25" customHeight="1" x14ac:dyDescent="0.25">
      <c r="A331" s="251"/>
      <c r="B331" s="378" t="s">
        <v>1014</v>
      </c>
      <c r="C331" s="247" t="s">
        <v>678</v>
      </c>
      <c r="D331" s="247" t="s">
        <v>679</v>
      </c>
      <c r="E331" s="247" t="s">
        <v>680</v>
      </c>
      <c r="F331" s="251"/>
      <c r="G331" s="251"/>
      <c r="H331" s="251"/>
    </row>
    <row r="332" spans="1:8" s="252" customFormat="1" ht="14.25" customHeight="1" x14ac:dyDescent="0.25">
      <c r="A332" s="251"/>
      <c r="C332" s="247"/>
      <c r="D332" s="247"/>
      <c r="E332" s="247"/>
      <c r="F332" s="251"/>
      <c r="G332" s="251"/>
      <c r="H332" s="251"/>
    </row>
    <row r="333" spans="1:8" s="252" customFormat="1" ht="14.25" customHeight="1" x14ac:dyDescent="0.25">
      <c r="A333" s="251"/>
      <c r="B333" s="378" t="s">
        <v>1015</v>
      </c>
      <c r="C333" s="247" t="s">
        <v>144</v>
      </c>
      <c r="D333" s="247" t="s">
        <v>682</v>
      </c>
      <c r="E333" s="247" t="s">
        <v>683</v>
      </c>
      <c r="F333" s="251"/>
      <c r="G333" s="251"/>
      <c r="H333" s="251"/>
    </row>
    <row r="334" spans="1:8" s="252" customFormat="1" ht="14.25" customHeight="1" x14ac:dyDescent="0.25">
      <c r="A334" s="251"/>
      <c r="C334" s="247"/>
      <c r="D334" s="247"/>
      <c r="E334" s="247"/>
      <c r="F334" s="251"/>
      <c r="G334" s="251"/>
      <c r="H334" s="251"/>
    </row>
    <row r="335" spans="1:8" s="252" customFormat="1" ht="14.25" customHeight="1" x14ac:dyDescent="0.25">
      <c r="A335" s="251"/>
      <c r="B335" s="378" t="s">
        <v>1286</v>
      </c>
      <c r="C335" s="247" t="s">
        <v>685</v>
      </c>
      <c r="D335" s="247" t="s">
        <v>686</v>
      </c>
      <c r="E335" s="247" t="s">
        <v>687</v>
      </c>
      <c r="F335" s="251"/>
      <c r="G335" s="251"/>
      <c r="H335" s="251"/>
    </row>
    <row r="336" spans="1:8" s="252" customFormat="1" ht="14.25" customHeight="1" x14ac:dyDescent="0.25">
      <c r="A336" s="251"/>
      <c r="B336" s="264"/>
      <c r="C336" s="262"/>
      <c r="D336" s="262"/>
      <c r="E336" s="262"/>
      <c r="F336" s="251"/>
      <c r="G336" s="251"/>
      <c r="H336" s="251"/>
    </row>
    <row r="337" spans="1:8" s="252" customFormat="1" ht="14.25" customHeight="1" x14ac:dyDescent="0.25">
      <c r="A337" s="251"/>
      <c r="B337" s="378" t="s">
        <v>1390</v>
      </c>
      <c r="C337" s="247" t="s">
        <v>228</v>
      </c>
      <c r="D337" s="247" t="s">
        <v>739</v>
      </c>
      <c r="E337" s="247" t="s">
        <v>738</v>
      </c>
      <c r="F337" s="251"/>
      <c r="G337" s="251"/>
      <c r="H337" s="251"/>
    </row>
    <row r="338" spans="1:8" s="252" customFormat="1" ht="14.25" customHeight="1" x14ac:dyDescent="0.25">
      <c r="A338" s="251"/>
      <c r="B338" s="378" t="s">
        <v>1391</v>
      </c>
      <c r="C338" s="383" t="s">
        <v>1438</v>
      </c>
      <c r="D338" s="383" t="s">
        <v>1439</v>
      </c>
      <c r="E338" s="383" t="s">
        <v>1440</v>
      </c>
      <c r="F338" s="251"/>
      <c r="G338" s="251"/>
      <c r="H338" s="251"/>
    </row>
    <row r="339" spans="1:8" s="252" customFormat="1" ht="14.25" customHeight="1" x14ac:dyDescent="0.25">
      <c r="A339" s="251"/>
      <c r="B339" s="264"/>
      <c r="C339" s="262"/>
      <c r="D339" s="262"/>
      <c r="E339" s="262"/>
      <c r="F339" s="251"/>
      <c r="G339" s="251"/>
      <c r="H339" s="251"/>
    </row>
    <row r="340" spans="1:8" s="252" customFormat="1" ht="14.25" customHeight="1" x14ac:dyDescent="0.25">
      <c r="A340" s="251"/>
      <c r="B340" s="268"/>
      <c r="C340" s="268"/>
      <c r="D340" s="268"/>
      <c r="E340" s="268"/>
      <c r="F340" s="251"/>
      <c r="G340" s="251"/>
      <c r="H340" s="251"/>
    </row>
    <row r="341" spans="1:8" s="252" customFormat="1" ht="14.25" customHeight="1" x14ac:dyDescent="0.25">
      <c r="A341" s="251"/>
      <c r="B341" s="267" t="s">
        <v>995</v>
      </c>
      <c r="C341" s="267" t="str">
        <f>list_of_sheets!D12</f>
        <v>Differenzen zwischen statutarischer und marktkonformer Bewertung (SST-Bilanz)</v>
      </c>
      <c r="D341" s="267" t="str">
        <f>list_of_sheets!E12</f>
        <v>Differences entre l'évaluation statutaire et conforme au marché</v>
      </c>
      <c r="E341" s="267" t="str">
        <f>list_of_sheets!F12</f>
        <v>Differences between the statutory and the market conform valuation</v>
      </c>
      <c r="F341" s="251"/>
      <c r="G341" s="251"/>
      <c r="H341" s="251"/>
    </row>
    <row r="342" spans="1:8" s="252" customFormat="1" ht="14.25" customHeight="1" x14ac:dyDescent="0.25">
      <c r="A342" s="251"/>
      <c r="B342" s="268"/>
      <c r="C342" s="268"/>
      <c r="D342" s="268"/>
      <c r="E342" s="268"/>
      <c r="F342" s="251"/>
      <c r="G342" s="251"/>
      <c r="H342" s="251"/>
    </row>
    <row r="343" spans="1:8" s="252" customFormat="1" ht="14.25" customHeight="1" x14ac:dyDescent="0.25">
      <c r="A343" s="251"/>
      <c r="B343" s="259" t="s">
        <v>996</v>
      </c>
      <c r="C343" s="259" t="s">
        <v>717</v>
      </c>
      <c r="D343" s="259" t="s">
        <v>746</v>
      </c>
      <c r="E343" s="259" t="s">
        <v>747</v>
      </c>
      <c r="F343" s="251"/>
      <c r="G343" s="251"/>
      <c r="H343" s="251"/>
    </row>
    <row r="344" spans="1:8" s="252" customFormat="1" ht="14.25" customHeight="1" x14ac:dyDescent="0.25">
      <c r="A344" s="251"/>
      <c r="B344" s="259" t="s">
        <v>997</v>
      </c>
      <c r="C344" s="259" t="s">
        <v>763</v>
      </c>
      <c r="D344" s="259" t="s">
        <v>764</v>
      </c>
      <c r="E344" s="259" t="s">
        <v>765</v>
      </c>
      <c r="F344" s="251"/>
      <c r="G344" s="251"/>
      <c r="H344" s="251"/>
    </row>
    <row r="345" spans="1:8" s="252" customFormat="1" ht="14.25" customHeight="1" x14ac:dyDescent="0.25">
      <c r="A345" s="251"/>
      <c r="B345" s="259" t="s">
        <v>998</v>
      </c>
      <c r="C345" s="259" t="s">
        <v>751</v>
      </c>
      <c r="D345" s="259" t="s">
        <v>756</v>
      </c>
      <c r="E345" s="259" t="s">
        <v>757</v>
      </c>
      <c r="F345" s="251"/>
      <c r="G345" s="251"/>
      <c r="H345" s="251"/>
    </row>
    <row r="346" spans="1:8" s="252" customFormat="1" ht="14.25" customHeight="1" x14ac:dyDescent="0.25">
      <c r="A346" s="251"/>
      <c r="B346" s="259" t="s">
        <v>999</v>
      </c>
      <c r="C346" s="259" t="s">
        <v>752</v>
      </c>
      <c r="D346" s="259" t="s">
        <v>755</v>
      </c>
      <c r="E346" s="259" t="s">
        <v>758</v>
      </c>
      <c r="F346" s="251"/>
      <c r="G346" s="251"/>
      <c r="H346" s="251"/>
    </row>
    <row r="347" spans="1:8" s="252" customFormat="1" ht="14.25" customHeight="1" x14ac:dyDescent="0.25">
      <c r="A347" s="251"/>
      <c r="B347" s="259" t="s">
        <v>1000</v>
      </c>
      <c r="C347" s="259" t="s">
        <v>748</v>
      </c>
      <c r="D347" s="259" t="s">
        <v>759</v>
      </c>
      <c r="E347" s="259" t="s">
        <v>760</v>
      </c>
      <c r="F347" s="251"/>
      <c r="G347" s="251"/>
      <c r="H347" s="251"/>
    </row>
    <row r="348" spans="1:8" s="252" customFormat="1" ht="14.25" customHeight="1" x14ac:dyDescent="0.25">
      <c r="A348" s="251"/>
      <c r="B348" s="259" t="s">
        <v>1001</v>
      </c>
      <c r="C348" s="259" t="s">
        <v>749</v>
      </c>
      <c r="D348" s="259" t="s">
        <v>753</v>
      </c>
      <c r="E348" s="259" t="s">
        <v>761</v>
      </c>
      <c r="F348" s="251"/>
      <c r="G348" s="251"/>
      <c r="H348" s="251"/>
    </row>
    <row r="349" spans="1:8" s="252" customFormat="1" ht="14.25" customHeight="1" x14ac:dyDescent="0.25">
      <c r="A349" s="251"/>
      <c r="B349" s="259" t="s">
        <v>1002</v>
      </c>
      <c r="C349" s="259" t="s">
        <v>750</v>
      </c>
      <c r="D349" s="259" t="s">
        <v>754</v>
      </c>
      <c r="E349" s="259" t="s">
        <v>762</v>
      </c>
      <c r="F349" s="251"/>
      <c r="G349" s="251"/>
      <c r="H349" s="251"/>
    </row>
    <row r="350" spans="1:8" s="252" customFormat="1" ht="14.25" customHeight="1" x14ac:dyDescent="0.25">
      <c r="A350" s="251"/>
      <c r="B350" s="259" t="s">
        <v>1003</v>
      </c>
      <c r="C350" s="259" t="s">
        <v>1557</v>
      </c>
      <c r="D350" s="259" t="s">
        <v>1558</v>
      </c>
      <c r="E350" s="259" t="s">
        <v>1559</v>
      </c>
      <c r="F350" s="251"/>
      <c r="G350" s="251"/>
      <c r="H350" s="251"/>
    </row>
    <row r="351" spans="1:8" s="252" customFormat="1" ht="14.25" customHeight="1" x14ac:dyDescent="0.25">
      <c r="A351" s="251"/>
      <c r="B351" s="268"/>
      <c r="C351" s="268"/>
      <c r="D351" s="268"/>
      <c r="E351" s="268"/>
      <c r="F351" s="251"/>
      <c r="G351" s="251"/>
      <c r="H351" s="251"/>
    </row>
    <row r="352" spans="1:8" s="252" customFormat="1" ht="14.25" customHeight="1" x14ac:dyDescent="0.25">
      <c r="A352" s="251"/>
      <c r="B352" s="268"/>
      <c r="C352" s="269"/>
      <c r="D352" s="268"/>
      <c r="E352" s="268"/>
      <c r="F352" s="251"/>
      <c r="G352" s="251"/>
      <c r="H352" s="251"/>
    </row>
  </sheetData>
  <pageMargins left="0.70866141732283472" right="0.70866141732283472" top="0.74803149606299213" bottom="0.74803149606299213" header="0.31496062992125984" footer="0.31496062992125984"/>
  <pageSetup paperSize="9" scale="41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82c37705-afd5-4d11-a1ea-0266d9d1a166">6009-P-2-5423</_dlc_DocId>
    <_dlc_DocIdUrl xmlns="82c37705-afd5-4d11-a1ea-0266d9d1a166">
      <Url>https://dok.finma.ch/sites/6009-P/_layouts/15/DocIdRedir.aspx?ID=6009-P-2-5423</Url>
      <Description>6009-P-2-5423</Description>
    </_dlc_DocIdUrl>
    <AgendaItemGUID xmlns="08f44e9f-55a5-4d8c-81fa-e5e52f0c7a16" xsi:nil="true"/>
    <RetentionPeriod xmlns="08F44E9F-55A5-4D8C-81FA-E5E52F0C7A16">15</RetentionPeriod>
    <DocumentDate xmlns="08F44E9F-55A5-4D8C-81FA-E5E52F0C7A16">2018-10-22T22:00:00+00:00</DocumentDate>
    <SeqenceNumber xmlns="08f44e9f-55a5-4d8c-81fa-e5e52f0c7a16" xsi:nil="true"/>
    <ToBeArchived xmlns="08f44e9f-55a5-4d8c-81fa-e5e52f0c7a16">Nein</ToBeArchived>
  </documentManagement>
</p:properties>
</file>

<file path=customXml/itemProps1.xml><?xml version="1.0" encoding="utf-8"?>
<ds:datastoreItem xmlns:ds="http://schemas.openxmlformats.org/officeDocument/2006/customXml" ds:itemID="{551EAF52-D4F7-4715-82DF-D22EF6B5C3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0F4EC9B-0D47-44AE-A674-16DD63B946F1}"/>
</file>

<file path=customXml/itemProps3.xml><?xml version="1.0" encoding="utf-8"?>
<ds:datastoreItem xmlns:ds="http://schemas.openxmlformats.org/officeDocument/2006/customXml" ds:itemID="{2EA94BA0-E4B9-4875-9663-29DA192095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243AE5B-A207-4B3A-980D-923F24343CC4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ab9bbcc-83c6-4736-b39b-aba04a32d413"/>
    <ds:schemaRef ds:uri="http://purl.org/dc/elements/1.1/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1AB9BBCC-83C6-4736-B39B-ABA04A32D413"/>
    <ds:schemaRef ds:uri="a13ce8e2-0bfa-4ae3-b62f-afeb61f48330"/>
    <ds:schemaRef ds:uri="http://www.w3.org/XML/1998/namespac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ap:HeadingPairs>
  <ap:TitlesOfParts>
    <vt:vector baseType="lpstr" size="15">
      <vt:lpstr>Intro</vt:lpstr>
      <vt:lpstr>Update</vt:lpstr>
      <vt:lpstr>Participation Inputs</vt:lpstr>
      <vt:lpstr>SST Balance Sheet BVG</vt:lpstr>
      <vt:lpstr>Instruction_Stat_SSTBalance</vt:lpstr>
      <vt:lpstr>Differences_Stat_SSTBalance BVG</vt:lpstr>
      <vt:lpstr>list_of_sheets</vt:lpstr>
      <vt:lpstr>Glossary</vt:lpstr>
      <vt:lpstr>Branch</vt:lpstr>
      <vt:lpstr>Language</vt:lpstr>
      <vt:lpstr>LanguageNo</vt:lpstr>
      <vt:lpstr>SST_Currency</vt:lpstr>
      <vt:lpstr>Translation</vt:lpstr>
      <vt:lpstr>Unit</vt:lpstr>
      <vt:lpstr>Year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2015-06-05T18:17:20.0000000Z</dcterms:created>
  <dcterms:modified xsi:type="dcterms:W3CDTF">2023-10-24T15:19:11.0000000Z</dcterms:modified>
  <contentStatus/>
  <dc:subject/>
  <category/>
  <keywords/>
  <dc:description/>
  <contentType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13;#4-02.9 Verschiedenes|b7add63a-7a8a-4b8a-bfff-6c9ce2cbce07</vt:lpwstr>
  </op:property>
  <op:property fmtid="{D5CDD505-2E9C-101B-9397-08002B2CF9AE}" pid="4" name="OU">
    <vt:lpwstr>2;#GB-V|f8d7b412-2487-4e9a-b58d-c7490dedd0c5</vt:lpwstr>
  </op:property>
  <op:property fmtid="{D5CDD505-2E9C-101B-9397-08002B2CF9AE}" pid="5" name="ContentTypeId">
    <vt:lpwstr>0x0101003951D1F36BC944E987AD610ADE6A10C3002366F3BBC8CE234B84695397A2A93407</vt:lpwstr>
  </op:property>
  <op:property fmtid="{D5CDD505-2E9C-101B-9397-08002B2CF9AE}" pid="6" name="_dlc_DocIdItemGuid">
    <vt:lpwstr>c9b5e82c-50bd-4c97-9500-c07f7327d56e</vt:lpwstr>
  </op:property>
  <op:property fmtid="{D5CDD505-2E9C-101B-9397-08002B2CF9AE}" pid="7" name="Ordnungsposition">
    <vt:lpwstr>5</vt:lpwstr>
  </op:property>
  <op:property fmtid="{D5CDD505-2E9C-101B-9397-08002B2CF9AE}" pid="8" name="Schlagwort">
    <vt:lpwstr/>
  </op:property>
  <op:property fmtid="{D5CDD505-2E9C-101B-9397-08002B2CF9AE}" pid="9" name="Schlagwort KategorieTaxHTField0">
    <vt:lpwstr/>
  </op:property>
  <op:property fmtid="{D5CDD505-2E9C-101B-9397-08002B2CF9AE}" pid="10" name="Reference">
    <vt:lpwstr>6005-T-6-55063 - 4-02.9 Verschiedenes</vt:lpwstr>
  </op:property>
</op:Properties>
</file>