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ok.finma.ch/sites/6005-T/Dossiers/Quantitatives Risikomanagement/SST/JaehrlicherSST/2025/Templates/"/>
    </mc:Choice>
  </mc:AlternateContent>
  <xr:revisionPtr revIDLastSave="0" documentId="8_{EBFA80CE-3214-4D46-8D2B-04722C69EEBE}" xr6:coauthVersionLast="47" xr6:coauthVersionMax="47" xr10:uidLastSave="{00000000-0000-0000-0000-000000000000}"/>
  <bookViews>
    <workbookView xWindow="28680" yWindow="-120" windowWidth="29040" windowHeight="17640" tabRatio="772" activeTab="4" xr2:uid="{00000000-000D-0000-FFFF-FFFF00000000}"/>
  </bookViews>
  <sheets>
    <sheet name="Intro" sheetId="1" r:id="rId1"/>
    <sheet name="Update" sheetId="2" r:id="rId2"/>
    <sheet name="Participation Inputs" sheetId="53" r:id="rId3"/>
    <sheet name="SST Balance Sheet BVG" sheetId="49" r:id="rId4"/>
    <sheet name="Differences_Stat_SSTBalance BVG" sheetId="52" r:id="rId5"/>
    <sheet name="Stat_SSTBalance Info" sheetId="51" r:id="rId6"/>
    <sheet name="Glossary" sheetId="5" r:id="rId7"/>
  </sheets>
  <definedNames>
    <definedName name="Branch">Intro!$E$11</definedName>
    <definedName name="ExchangeRate">#REF!</definedName>
    <definedName name="Language" localSheetId="2">Intro!$E$7</definedName>
    <definedName name="Language">Intro!$E$7</definedName>
    <definedName name="LanguageNo" localSheetId="2">Intro!$F$7</definedName>
    <definedName name="LanguageNo">Intro!$F$7</definedName>
    <definedName name="SST_Currency" localSheetId="2">'Participation Inputs'!$D$7</definedName>
    <definedName name="SST_Currency">#REF!</definedName>
    <definedName name="Translation" localSheetId="2">Glossary!$B:$F</definedName>
    <definedName name="Translation">Glossary!$B:$F</definedName>
    <definedName name="Unit" localSheetId="2">Intro!$G$7</definedName>
    <definedName name="Unit">Intro!$G$7</definedName>
    <definedName name="Year" localSheetId="2">Intro!$C$1</definedName>
    <definedName name="Year">Intro!$C$1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8" i="52" l="1"/>
  <c r="K248" i="52"/>
  <c r="J248" i="52"/>
  <c r="G248" i="52"/>
  <c r="M3" i="52"/>
  <c r="G173" i="52"/>
  <c r="I261" i="49" l="1"/>
  <c r="I166" i="49"/>
  <c r="J28" i="49"/>
  <c r="G4" i="52"/>
  <c r="N4" i="52"/>
  <c r="F5" i="49"/>
  <c r="D14" i="53"/>
  <c r="J120" i="52" a="1"/>
  <c r="J120" i="52" s="1"/>
  <c r="L120" i="52" s="1"/>
  <c r="N120" i="52"/>
  <c r="M120" i="52" l="1"/>
  <c r="B1" i="53" l="1"/>
  <c r="B7" i="53"/>
  <c r="C27" i="53"/>
  <c r="B27" i="53"/>
  <c r="C26" i="53"/>
  <c r="B26" i="53"/>
  <c r="C25" i="53"/>
  <c r="B25" i="53"/>
  <c r="C24" i="53"/>
  <c r="B24" i="53"/>
  <c r="B23" i="53"/>
  <c r="B22" i="53"/>
  <c r="B21" i="53"/>
  <c r="B20" i="53"/>
  <c r="B19" i="53"/>
  <c r="B18" i="53"/>
  <c r="E17" i="53"/>
  <c r="E18" i="53" s="1"/>
  <c r="B17" i="53"/>
  <c r="B16" i="53"/>
  <c r="B15" i="53"/>
  <c r="B14" i="53"/>
  <c r="B13" i="53"/>
  <c r="B12" i="53"/>
  <c r="B11" i="53"/>
  <c r="B10" i="53"/>
  <c r="H9" i="53"/>
  <c r="G9" i="53"/>
  <c r="C9" i="53"/>
  <c r="B9" i="53"/>
  <c r="I8" i="53"/>
  <c r="H8" i="53"/>
  <c r="G8" i="53"/>
  <c r="B8" i="53"/>
  <c r="H7" i="53"/>
  <c r="G7" i="53"/>
  <c r="E21" i="53" l="1"/>
  <c r="E22" i="53" s="1"/>
  <c r="E24" i="53" l="1"/>
  <c r="E25" i="53"/>
  <c r="J10" i="52" l="1" a="1"/>
  <c r="J10" i="52" s="1"/>
  <c r="F226" i="49"/>
  <c r="F219" i="49"/>
  <c r="F209" i="49"/>
  <c r="F198" i="49"/>
  <c r="F197" i="49" s="1"/>
  <c r="F184" i="49"/>
  <c r="F192" i="49"/>
  <c r="F174" i="49"/>
  <c r="F113" i="49"/>
  <c r="F103" i="49"/>
  <c r="F95" i="49"/>
  <c r="F92" i="49" s="1"/>
  <c r="F81" i="49"/>
  <c r="F80" i="49" s="1"/>
  <c r="F58" i="49"/>
  <c r="F71" i="49"/>
  <c r="F66" i="49" s="1"/>
  <c r="F39" i="49"/>
  <c r="F29" i="49"/>
  <c r="J261" i="52" l="1" a="1"/>
  <c r="J261" i="52" s="1"/>
  <c r="J260" i="52" a="1"/>
  <c r="J260" i="52" s="1"/>
  <c r="J259" i="52" a="1"/>
  <c r="J259" i="52" s="1"/>
  <c r="J257" i="52" a="1"/>
  <c r="J257" i="52" s="1"/>
  <c r="J256" i="52" a="1"/>
  <c r="J256" i="52" s="1"/>
  <c r="J255" i="52" a="1"/>
  <c r="J255" i="52" s="1"/>
  <c r="J254" i="52" a="1"/>
  <c r="J254" i="52" s="1"/>
  <c r="J252" i="52" a="1"/>
  <c r="J252" i="52" s="1"/>
  <c r="J251" i="52" a="1"/>
  <c r="J251" i="52" s="1"/>
  <c r="J250" i="52" a="1"/>
  <c r="J250" i="52" s="1"/>
  <c r="J246" i="52" a="1"/>
  <c r="J246" i="52" s="1"/>
  <c r="J245" i="52" a="1"/>
  <c r="J245" i="52" s="1"/>
  <c r="J242" i="52" a="1"/>
  <c r="J242" i="52" s="1"/>
  <c r="J241" i="52" a="1"/>
  <c r="J241" i="52" s="1"/>
  <c r="J238" i="52" a="1"/>
  <c r="J238" i="52" s="1"/>
  <c r="J237" i="52" a="1"/>
  <c r="J237" i="52" s="1"/>
  <c r="J234" i="52" a="1"/>
  <c r="J234" i="52" s="1"/>
  <c r="J232" i="52" a="1"/>
  <c r="J232" i="52" s="1"/>
  <c r="J231" i="52" a="1"/>
  <c r="J231" i="52" s="1"/>
  <c r="J230" i="52" a="1"/>
  <c r="J230" i="52" s="1"/>
  <c r="J229" i="52" a="1"/>
  <c r="J229" i="52" s="1"/>
  <c r="J228" i="52" a="1"/>
  <c r="J228" i="52" s="1"/>
  <c r="J227" i="52" a="1"/>
  <c r="J227" i="52" s="1"/>
  <c r="J217" i="52" a="1"/>
  <c r="J217" i="52" s="1"/>
  <c r="J224" i="52" a="1"/>
  <c r="J224" i="52" s="1"/>
  <c r="J222" i="52" a="1"/>
  <c r="J222" i="52" s="1"/>
  <c r="J221" i="52" a="1"/>
  <c r="J221" i="52" s="1"/>
  <c r="J220" i="52" a="1"/>
  <c r="J220" i="52" s="1"/>
  <c r="J215" i="52" a="1"/>
  <c r="J215" i="52" s="1"/>
  <c r="J214" i="52" a="1"/>
  <c r="J214" i="52" s="1"/>
  <c r="J212" i="52" a="1"/>
  <c r="J212" i="52" s="1"/>
  <c r="J210" i="52" a="1"/>
  <c r="J210" i="52" s="1"/>
  <c r="J207" i="52" a="1"/>
  <c r="J207" i="52" s="1"/>
  <c r="J206" i="52" a="1"/>
  <c r="J206" i="52" s="1"/>
  <c r="J205" i="52" a="1"/>
  <c r="J205" i="52" s="1"/>
  <c r="J204" i="52" a="1"/>
  <c r="J204" i="52" s="1"/>
  <c r="J203" i="52" a="1"/>
  <c r="J203" i="52" s="1"/>
  <c r="J202" i="52" a="1"/>
  <c r="J202" i="52" s="1"/>
  <c r="J201" i="52" a="1"/>
  <c r="J201" i="52" s="1"/>
  <c r="J200" i="52" a="1"/>
  <c r="J200" i="52" s="1"/>
  <c r="J199" i="52" a="1"/>
  <c r="J199" i="52" s="1"/>
  <c r="J195" i="52" a="1"/>
  <c r="J195" i="52" s="1"/>
  <c r="J194" i="52" a="1"/>
  <c r="J194" i="52" s="1"/>
  <c r="J193" i="52" a="1"/>
  <c r="J193" i="52" s="1"/>
  <c r="J191" i="52" a="1"/>
  <c r="J191" i="52" s="1"/>
  <c r="J190" i="52" a="1"/>
  <c r="J190" i="52" s="1"/>
  <c r="J189" i="52" a="1"/>
  <c r="J189" i="52" s="1"/>
  <c r="J188" i="52" a="1"/>
  <c r="J188" i="52" s="1"/>
  <c r="J187" i="52" a="1"/>
  <c r="J187" i="52" s="1"/>
  <c r="J185" i="52" a="1"/>
  <c r="J185" i="52" s="1"/>
  <c r="J182" i="52" a="1"/>
  <c r="J182" i="52" s="1"/>
  <c r="J181" i="52" a="1"/>
  <c r="J181" i="52" s="1"/>
  <c r="J180" i="52" a="1"/>
  <c r="J180" i="52" s="1"/>
  <c r="J178" i="52" a="1"/>
  <c r="J178" i="52" s="1"/>
  <c r="J177" i="52" a="1"/>
  <c r="J177" i="52" s="1"/>
  <c r="J176" i="52" a="1"/>
  <c r="J176" i="52" s="1"/>
  <c r="J175" i="52" a="1"/>
  <c r="J175" i="52" s="1"/>
  <c r="J164" i="52" a="1"/>
  <c r="J164" i="52" s="1"/>
  <c r="J163" i="52" a="1"/>
  <c r="J163" i="52" s="1"/>
  <c r="J162" i="52" a="1"/>
  <c r="J162" i="52" s="1"/>
  <c r="J161" i="52" a="1"/>
  <c r="J161" i="52" s="1"/>
  <c r="J158" i="52" a="1"/>
  <c r="J158" i="52" s="1"/>
  <c r="J156" i="52" a="1"/>
  <c r="J156" i="52" s="1"/>
  <c r="J155" i="52" a="1"/>
  <c r="J155" i="52" s="1"/>
  <c r="J152" i="52" a="1"/>
  <c r="J152" i="52" s="1"/>
  <c r="J150" i="52" a="1"/>
  <c r="J150" i="52" s="1"/>
  <c r="L150" i="52" s="1"/>
  <c r="J149" i="52" a="1"/>
  <c r="J149" i="52" s="1"/>
  <c r="J148" i="52" a="1"/>
  <c r="J148" i="52" s="1"/>
  <c r="J147" i="52" a="1"/>
  <c r="J147" i="52" s="1"/>
  <c r="J146" i="52" a="1"/>
  <c r="J146" i="52" s="1"/>
  <c r="J144" i="52" a="1"/>
  <c r="J144" i="52" s="1"/>
  <c r="J141" i="52" a="1"/>
  <c r="J141" i="52" s="1"/>
  <c r="J139" i="52" a="1"/>
  <c r="J139" i="52" s="1"/>
  <c r="J137" i="52" a="1"/>
  <c r="J137" i="52" s="1"/>
  <c r="J136" i="52" a="1"/>
  <c r="J136" i="52" s="1"/>
  <c r="J133" i="52" a="1"/>
  <c r="J133" i="52" s="1"/>
  <c r="J132" i="52" a="1"/>
  <c r="J132" i="52" s="1"/>
  <c r="J131" i="52" a="1"/>
  <c r="J131" i="52" s="1"/>
  <c r="J130" i="52" a="1"/>
  <c r="J130" i="52" s="1"/>
  <c r="J129" i="52" a="1"/>
  <c r="J129" i="52" s="1"/>
  <c r="J126" i="52" a="1"/>
  <c r="J126" i="52" s="1"/>
  <c r="J125" i="52" a="1"/>
  <c r="J125" i="52" s="1"/>
  <c r="J124" i="52" a="1"/>
  <c r="J124" i="52" s="1"/>
  <c r="J123" i="52" a="1"/>
  <c r="J123" i="52" s="1"/>
  <c r="J121" i="52" a="1"/>
  <c r="J121" i="52" s="1"/>
  <c r="J119" i="52" a="1"/>
  <c r="J119" i="52" s="1"/>
  <c r="J116" i="52" a="1"/>
  <c r="J116" i="52" s="1"/>
  <c r="J115" i="52" a="1"/>
  <c r="J115" i="52" s="1"/>
  <c r="J114" i="52" a="1"/>
  <c r="J114" i="52" s="1"/>
  <c r="J111" i="52" a="1"/>
  <c r="J111" i="52" s="1"/>
  <c r="J109" i="52" a="1"/>
  <c r="J109" i="52" s="1"/>
  <c r="J108" i="52" a="1"/>
  <c r="J108" i="52" s="1"/>
  <c r="J107" i="52" a="1"/>
  <c r="J107" i="52" s="1"/>
  <c r="J106" i="52" a="1"/>
  <c r="J106" i="52" s="1"/>
  <c r="J105" i="52" a="1"/>
  <c r="J105" i="52" s="1"/>
  <c r="J104" i="52" a="1"/>
  <c r="J104" i="52" s="1"/>
  <c r="J101" i="52" a="1"/>
  <c r="J101" i="52" s="1"/>
  <c r="J100" i="52" a="1"/>
  <c r="J100" i="52" s="1"/>
  <c r="J99" i="52" a="1"/>
  <c r="J99" i="52" s="1"/>
  <c r="J98" i="52" a="1"/>
  <c r="J98" i="52" s="1"/>
  <c r="J97" i="52" a="1"/>
  <c r="J97" i="52" s="1"/>
  <c r="J96" i="52" a="1"/>
  <c r="J96" i="52" s="1"/>
  <c r="J93" i="52" a="1"/>
  <c r="J93" i="52" s="1"/>
  <c r="J86" i="52" a="1"/>
  <c r="J86" i="52" s="1"/>
  <c r="J85" i="52" a="1"/>
  <c r="J85" i="52" s="1"/>
  <c r="J84" i="52" a="1"/>
  <c r="J84" i="52" s="1"/>
  <c r="J83" i="52" a="1"/>
  <c r="J83" i="52" s="1"/>
  <c r="J82" i="52" a="1"/>
  <c r="J82" i="52" s="1"/>
  <c r="J78" i="52" a="1"/>
  <c r="J78" i="52" s="1"/>
  <c r="J77" i="52" a="1"/>
  <c r="J77" i="52" s="1"/>
  <c r="J74" i="52" a="1"/>
  <c r="J74" i="52" s="1"/>
  <c r="J73" i="52" a="1"/>
  <c r="J73" i="52" s="1"/>
  <c r="J72" i="52" a="1"/>
  <c r="J72" i="52" s="1"/>
  <c r="J68" i="52" a="1"/>
  <c r="J68" i="52" s="1"/>
  <c r="J67" i="52" a="1"/>
  <c r="J67" i="52" s="1"/>
  <c r="J64" i="52" a="1"/>
  <c r="J64" i="52" s="1"/>
  <c r="J63" i="52" a="1"/>
  <c r="J63" i="52" s="1"/>
  <c r="J62" i="52" a="1"/>
  <c r="J62" i="52" s="1"/>
  <c r="J61" i="52" a="1"/>
  <c r="J61" i="52" s="1"/>
  <c r="J60" i="52" a="1"/>
  <c r="J60" i="52" s="1"/>
  <c r="J59" i="52" a="1"/>
  <c r="J59" i="52" s="1"/>
  <c r="J55" i="52" a="1"/>
  <c r="J55" i="52" s="1"/>
  <c r="J54" i="52" a="1"/>
  <c r="J54" i="52" s="1"/>
  <c r="J53" i="52" a="1"/>
  <c r="J53" i="52" s="1"/>
  <c r="J50" i="52" a="1"/>
  <c r="J50" i="52" s="1"/>
  <c r="J49" i="52" a="1"/>
  <c r="J49" i="52" s="1"/>
  <c r="J47" i="52" a="1"/>
  <c r="J47" i="52" s="1"/>
  <c r="J46" i="52" a="1"/>
  <c r="J46" i="52" s="1"/>
  <c r="J42" i="52" a="1"/>
  <c r="J42" i="52" s="1"/>
  <c r="J41" i="52" a="1"/>
  <c r="J41" i="52" s="1"/>
  <c r="J40" i="52" a="1"/>
  <c r="J40" i="52" s="1"/>
  <c r="J37" i="52" a="1"/>
  <c r="J37" i="52" s="1"/>
  <c r="J36" i="52" a="1"/>
  <c r="J36" i="52" s="1"/>
  <c r="J35" i="52" a="1"/>
  <c r="J35" i="52" s="1"/>
  <c r="J33" i="52" a="1"/>
  <c r="J33" i="52" s="1"/>
  <c r="J30" i="52" a="1"/>
  <c r="J30" i="52" s="1"/>
  <c r="J27" i="52" a="1"/>
  <c r="J27" i="52" s="1"/>
  <c r="J26" i="52" a="1"/>
  <c r="J26" i="52" s="1"/>
  <c r="J23" i="52" a="1"/>
  <c r="J23" i="52" s="1"/>
  <c r="J22" i="52" a="1"/>
  <c r="J22" i="52" s="1"/>
  <c r="J18" i="52" a="1"/>
  <c r="J18" i="52" s="1"/>
  <c r="J17" i="52" a="1"/>
  <c r="J17" i="52" s="1"/>
  <c r="J16" i="52" a="1"/>
  <c r="J16" i="52" s="1"/>
  <c r="J14" i="52" a="1"/>
  <c r="J14" i="52" s="1"/>
  <c r="J13" i="52" a="1"/>
  <c r="J13" i="52" s="1"/>
  <c r="J11" i="52" a="1"/>
  <c r="J11" i="52" s="1"/>
  <c r="N250" i="52" l="1"/>
  <c r="N251" i="52"/>
  <c r="N252" i="52"/>
  <c r="N254" i="52"/>
  <c r="N255" i="52"/>
  <c r="N256" i="52"/>
  <c r="N257" i="52"/>
  <c r="N259" i="52"/>
  <c r="N260" i="52"/>
  <c r="N261" i="52"/>
  <c r="L255" i="52"/>
  <c r="K258" i="52"/>
  <c r="K253" i="52"/>
  <c r="K249" i="52"/>
  <c r="G258" i="52"/>
  <c r="G253" i="52"/>
  <c r="G249" i="52"/>
  <c r="K198" i="52"/>
  <c r="K197" i="52" s="1"/>
  <c r="K184" i="52"/>
  <c r="G184" i="52"/>
  <c r="K174" i="52"/>
  <c r="K173" i="52" s="1"/>
  <c r="K192" i="52"/>
  <c r="K15" i="52"/>
  <c r="K12" i="52"/>
  <c r="K9" i="52"/>
  <c r="K128" i="52"/>
  <c r="K122" i="52"/>
  <c r="G128" i="52"/>
  <c r="G122" i="52"/>
  <c r="B132" i="52"/>
  <c r="L132" i="52" s="1"/>
  <c r="B133" i="52"/>
  <c r="L133" i="52" s="1"/>
  <c r="B254" i="52"/>
  <c r="B255" i="52"/>
  <c r="B256" i="52"/>
  <c r="L256" i="52" s="1"/>
  <c r="B257" i="52"/>
  <c r="L257" i="52" s="1"/>
  <c r="B258" i="52"/>
  <c r="B259" i="52"/>
  <c r="B260" i="52"/>
  <c r="L260" i="52" s="1"/>
  <c r="B261" i="52"/>
  <c r="L261" i="52" s="1"/>
  <c r="N210" i="52"/>
  <c r="N211" i="52"/>
  <c r="N212" i="52"/>
  <c r="N213" i="52"/>
  <c r="B207" i="52"/>
  <c r="L207" i="52" s="1"/>
  <c r="N199" i="52"/>
  <c r="N200" i="52"/>
  <c r="N201" i="52"/>
  <c r="N202" i="52"/>
  <c r="N203" i="52"/>
  <c r="N204" i="52"/>
  <c r="N205" i="52"/>
  <c r="N206" i="52"/>
  <c r="N207" i="52"/>
  <c r="G198" i="52"/>
  <c r="G197" i="52" s="1"/>
  <c r="N185" i="52"/>
  <c r="N186" i="52"/>
  <c r="N187" i="52"/>
  <c r="N188" i="52"/>
  <c r="N189" i="52"/>
  <c r="N190" i="52"/>
  <c r="N191" i="52"/>
  <c r="N193" i="52"/>
  <c r="N194" i="52"/>
  <c r="N195" i="52"/>
  <c r="B188" i="52"/>
  <c r="B189" i="52"/>
  <c r="B190" i="52"/>
  <c r="B191" i="52"/>
  <c r="B192" i="52"/>
  <c r="B193" i="52"/>
  <c r="L193" i="52" s="1"/>
  <c r="B194" i="52"/>
  <c r="B195" i="52"/>
  <c r="L195" i="52" s="1"/>
  <c r="M195" i="52" s="1"/>
  <c r="G192" i="52"/>
  <c r="N164" i="52"/>
  <c r="N163" i="52"/>
  <c r="N162" i="52"/>
  <c r="N161" i="52"/>
  <c r="N158" i="52"/>
  <c r="N156" i="52"/>
  <c r="N155" i="52"/>
  <c r="N152" i="52"/>
  <c r="N150" i="52"/>
  <c r="M150" i="52" s="1"/>
  <c r="N149" i="52"/>
  <c r="N148" i="52"/>
  <c r="N147" i="52"/>
  <c r="N146" i="52"/>
  <c r="N144" i="52"/>
  <c r="N141" i="52"/>
  <c r="N139" i="52"/>
  <c r="N137" i="52"/>
  <c r="N136" i="52"/>
  <c r="N133" i="52"/>
  <c r="N132" i="52"/>
  <c r="N131" i="52"/>
  <c r="N130" i="52"/>
  <c r="N129" i="52"/>
  <c r="N126" i="52"/>
  <c r="N125" i="52"/>
  <c r="N124" i="52"/>
  <c r="N123" i="52"/>
  <c r="N121" i="52"/>
  <c r="N119" i="52"/>
  <c r="N116" i="52"/>
  <c r="N115" i="52"/>
  <c r="N114" i="52"/>
  <c r="N111" i="52"/>
  <c r="N109" i="52"/>
  <c r="N108" i="52"/>
  <c r="N107" i="52"/>
  <c r="N106" i="52"/>
  <c r="N105" i="52"/>
  <c r="N104" i="52"/>
  <c r="N101" i="52"/>
  <c r="N100" i="52"/>
  <c r="N99" i="52"/>
  <c r="N98" i="52"/>
  <c r="N97" i="52"/>
  <c r="N96" i="52"/>
  <c r="N93" i="52"/>
  <c r="N86" i="52"/>
  <c r="N85" i="52"/>
  <c r="N84" i="52"/>
  <c r="N83" i="52"/>
  <c r="N82" i="52"/>
  <c r="N78" i="52"/>
  <c r="N77" i="52"/>
  <c r="N74" i="52"/>
  <c r="N73" i="52"/>
  <c r="N72" i="52"/>
  <c r="N68" i="52"/>
  <c r="N67" i="52"/>
  <c r="N64" i="52"/>
  <c r="N63" i="52"/>
  <c r="N62" i="52"/>
  <c r="N61" i="52"/>
  <c r="N60" i="52"/>
  <c r="N59" i="52"/>
  <c r="N55" i="52"/>
  <c r="N54" i="52"/>
  <c r="N53" i="52"/>
  <c r="N50" i="52"/>
  <c r="N49" i="52"/>
  <c r="N47" i="52"/>
  <c r="N46" i="52"/>
  <c r="N40" i="52"/>
  <c r="N41" i="52"/>
  <c r="N42" i="52"/>
  <c r="N30" i="52"/>
  <c r="N33" i="52"/>
  <c r="N35" i="52"/>
  <c r="N36" i="52"/>
  <c r="N37" i="52"/>
  <c r="N26" i="52"/>
  <c r="N27" i="52"/>
  <c r="N22" i="52"/>
  <c r="N23" i="52"/>
  <c r="N10" i="52"/>
  <c r="N11" i="52"/>
  <c r="N13" i="52"/>
  <c r="N14" i="52"/>
  <c r="N16" i="52"/>
  <c r="N17" i="52"/>
  <c r="N18" i="52"/>
  <c r="B17" i="52"/>
  <c r="B18" i="52"/>
  <c r="K8" i="52" l="1"/>
  <c r="M256" i="52"/>
  <c r="K118" i="52"/>
  <c r="M257" i="52"/>
  <c r="M207" i="52"/>
  <c r="M133" i="52"/>
  <c r="M132" i="52"/>
  <c r="G118" i="52"/>
  <c r="J258" i="52"/>
  <c r="J253" i="52"/>
  <c r="M260" i="52"/>
  <c r="M255" i="52"/>
  <c r="L259" i="52"/>
  <c r="M259" i="52" s="1"/>
  <c r="M261" i="52"/>
  <c r="L254" i="52"/>
  <c r="K172" i="52"/>
  <c r="L194" i="52"/>
  <c r="M194" i="52" s="1"/>
  <c r="M193" i="52"/>
  <c r="L253" i="52" l="1"/>
  <c r="M254" i="52"/>
  <c r="L258" i="52"/>
  <c r="J192" i="52"/>
  <c r="L192" i="52"/>
  <c r="L17" i="52" l="1"/>
  <c r="M17" i="52" s="1"/>
  <c r="G15" i="52"/>
  <c r="G12" i="52"/>
  <c r="G9" i="52"/>
  <c r="G8" i="52" l="1"/>
  <c r="F258" i="49"/>
  <c r="N258" i="52" s="1"/>
  <c r="M258" i="52" s="1"/>
  <c r="F253" i="49"/>
  <c r="N253" i="52" s="1"/>
  <c r="F249" i="49"/>
  <c r="F244" i="49"/>
  <c r="F240" i="49"/>
  <c r="F236" i="49"/>
  <c r="N198" i="52"/>
  <c r="F173" i="49"/>
  <c r="F172" i="49" s="1"/>
  <c r="F160" i="49"/>
  <c r="N160" i="52" s="1"/>
  <c r="F154" i="49"/>
  <c r="N154" i="52" s="1"/>
  <c r="F145" i="49"/>
  <c r="F143" i="49" s="1"/>
  <c r="F135" i="49"/>
  <c r="N135" i="52" s="1"/>
  <c r="F128" i="49"/>
  <c r="N128" i="52" s="1"/>
  <c r="F122" i="49"/>
  <c r="N113" i="52"/>
  <c r="N103" i="52"/>
  <c r="F76" i="49"/>
  <c r="N58" i="52"/>
  <c r="F52" i="49"/>
  <c r="N52" i="52" s="1"/>
  <c r="F48" i="49"/>
  <c r="N48" i="52" s="1"/>
  <c r="F45" i="49"/>
  <c r="N39" i="52"/>
  <c r="N29" i="52"/>
  <c r="J35" i="49"/>
  <c r="J33" i="49"/>
  <c r="J30" i="49"/>
  <c r="F25" i="49"/>
  <c r="N25" i="52" s="1"/>
  <c r="F15" i="49"/>
  <c r="N15" i="52" s="1"/>
  <c r="F12" i="49"/>
  <c r="F9" i="49"/>
  <c r="F21" i="49"/>
  <c r="N21" i="52" s="1"/>
  <c r="N192" i="52"/>
  <c r="M192" i="52" s="1"/>
  <c r="N9" i="52" l="1"/>
  <c r="F8" i="49"/>
  <c r="F118" i="49"/>
  <c r="F166" i="49" s="1"/>
  <c r="N76" i="52"/>
  <c r="F57" i="49"/>
  <c r="N249" i="52"/>
  <c r="F248" i="49"/>
  <c r="F263" i="49" s="1"/>
  <c r="N143" i="52"/>
  <c r="N145" i="52"/>
  <c r="N80" i="52"/>
  <c r="N81" i="52"/>
  <c r="N95" i="52"/>
  <c r="N12" i="52"/>
  <c r="F44" i="49"/>
  <c r="N44" i="52" s="1"/>
  <c r="N45" i="52"/>
  <c r="N122" i="52"/>
  <c r="N66" i="52"/>
  <c r="N71" i="52"/>
  <c r="F20" i="49"/>
  <c r="B217" i="52"/>
  <c r="F88" i="49" l="1"/>
  <c r="F168" i="49" s="1"/>
  <c r="N118" i="52"/>
  <c r="N20" i="52"/>
  <c r="N92" i="52"/>
  <c r="N57" i="52"/>
  <c r="G263" i="49"/>
  <c r="I263" i="49" l="1"/>
  <c r="N217" i="52"/>
  <c r="G168" i="49" l="1"/>
  <c r="N88" i="52"/>
  <c r="L217" i="52"/>
  <c r="M217" i="52" l="1"/>
  <c r="N175" i="52"/>
  <c r="N176" i="52"/>
  <c r="G174" i="52"/>
  <c r="N245" i="52" l="1"/>
  <c r="N246" i="52"/>
  <c r="N241" i="52"/>
  <c r="N242" i="52"/>
  <c r="N238" i="52"/>
  <c r="N237" i="52"/>
  <c r="H127" i="51" l="1"/>
  <c r="H75" i="51"/>
  <c r="H22" i="51"/>
  <c r="N174" i="52" l="1"/>
  <c r="N220" i="52" l="1"/>
  <c r="N221" i="52"/>
  <c r="N222" i="52"/>
  <c r="K219" i="52"/>
  <c r="G219" i="52"/>
  <c r="K244" i="52"/>
  <c r="G244" i="52"/>
  <c r="K240" i="52"/>
  <c r="G240" i="52"/>
  <c r="K236" i="52"/>
  <c r="G236" i="52"/>
  <c r="N234" i="52"/>
  <c r="N227" i="52"/>
  <c r="N228" i="52"/>
  <c r="N229" i="52"/>
  <c r="N230" i="52"/>
  <c r="N231" i="52"/>
  <c r="N232" i="52"/>
  <c r="K226" i="52"/>
  <c r="G226" i="52"/>
  <c r="N224" i="52"/>
  <c r="N214" i="52"/>
  <c r="N215" i="52"/>
  <c r="K209" i="52"/>
  <c r="G209" i="52"/>
  <c r="G172" i="52"/>
  <c r="N182" i="52"/>
  <c r="N181" i="52"/>
  <c r="N180" i="52"/>
  <c r="N178" i="52"/>
  <c r="N177" i="52"/>
  <c r="K160" i="52"/>
  <c r="G160" i="52"/>
  <c r="K154" i="52"/>
  <c r="G154" i="52"/>
  <c r="K145" i="52"/>
  <c r="K143" i="52" s="1"/>
  <c r="G145" i="52"/>
  <c r="G143" i="52" s="1"/>
  <c r="K135" i="52"/>
  <c r="G135" i="52"/>
  <c r="K113" i="52"/>
  <c r="G113" i="52"/>
  <c r="K103" i="52"/>
  <c r="G103" i="52"/>
  <c r="K95" i="52"/>
  <c r="K92" i="52" s="1"/>
  <c r="G95" i="52"/>
  <c r="G92" i="52" s="1"/>
  <c r="G166" i="52" l="1"/>
  <c r="K263" i="52"/>
  <c r="K166" i="52"/>
  <c r="B250" i="52" l="1"/>
  <c r="B251" i="52"/>
  <c r="B252" i="52"/>
  <c r="B253" i="52"/>
  <c r="B224" i="52"/>
  <c r="B129" i="52"/>
  <c r="J249" i="52" l="1"/>
  <c r="N209" i="52"/>
  <c r="N173" i="52" l="1"/>
  <c r="N184" i="52"/>
  <c r="N240" i="52"/>
  <c r="N244" i="52"/>
  <c r="N197" i="52" l="1"/>
  <c r="N172" i="52"/>
  <c r="H122" i="51" l="1"/>
  <c r="H70" i="51" l="1"/>
  <c r="E21" i="51"/>
  <c r="H21" i="51"/>
  <c r="H17" i="51"/>
  <c r="K89" i="51" l="1"/>
  <c r="K88" i="51"/>
  <c r="K87" i="51"/>
  <c r="K86" i="51"/>
  <c r="K85" i="51"/>
  <c r="J84" i="51"/>
  <c r="H84" i="51"/>
  <c r="E84" i="51"/>
  <c r="H74" i="51"/>
  <c r="E74" i="51"/>
  <c r="K84" i="51" l="1"/>
  <c r="K141" i="51" l="1"/>
  <c r="K140" i="51"/>
  <c r="K139" i="51"/>
  <c r="K138" i="51"/>
  <c r="K137" i="51"/>
  <c r="J136" i="51"/>
  <c r="H136" i="51"/>
  <c r="E136" i="51"/>
  <c r="H126" i="51"/>
  <c r="E126" i="51"/>
  <c r="K136" i="51" l="1"/>
  <c r="B90" i="52" l="1"/>
  <c r="B88" i="52"/>
  <c r="N5" i="52" l="1"/>
  <c r="L5" i="52" l="1"/>
  <c r="J5" i="52"/>
  <c r="G5" i="52"/>
  <c r="F6" i="49"/>
  <c r="B263" i="52"/>
  <c r="B249" i="52"/>
  <c r="B248" i="52"/>
  <c r="B246" i="52"/>
  <c r="B245" i="52"/>
  <c r="B244" i="52"/>
  <c r="B242" i="52"/>
  <c r="B241" i="52"/>
  <c r="B240" i="52"/>
  <c r="B238" i="52"/>
  <c r="B237" i="52"/>
  <c r="B236" i="52"/>
  <c r="B234" i="52"/>
  <c r="B232" i="52"/>
  <c r="B231" i="52"/>
  <c r="B230" i="52"/>
  <c r="B229" i="52"/>
  <c r="B228" i="52"/>
  <c r="B227" i="52"/>
  <c r="B226" i="52"/>
  <c r="B222" i="52"/>
  <c r="B221" i="52"/>
  <c r="B220" i="52"/>
  <c r="B219" i="52"/>
  <c r="B215" i="52"/>
  <c r="B214" i="52"/>
  <c r="B213" i="52"/>
  <c r="B212" i="52"/>
  <c r="B211" i="52"/>
  <c r="B210" i="52"/>
  <c r="B209" i="52"/>
  <c r="B206" i="52"/>
  <c r="B205" i="52"/>
  <c r="B204" i="52"/>
  <c r="B203" i="52"/>
  <c r="B202" i="52"/>
  <c r="B201" i="52"/>
  <c r="B200" i="52"/>
  <c r="L200" i="52" s="1"/>
  <c r="M200" i="52" s="1"/>
  <c r="B199" i="52"/>
  <c r="B198" i="52"/>
  <c r="B197" i="52"/>
  <c r="B187" i="52"/>
  <c r="B186" i="52"/>
  <c r="B185" i="52"/>
  <c r="B184" i="52"/>
  <c r="B182" i="52"/>
  <c r="B181" i="52"/>
  <c r="B180" i="52"/>
  <c r="B179" i="52"/>
  <c r="B178" i="52"/>
  <c r="B177" i="52"/>
  <c r="B176" i="52"/>
  <c r="L176" i="52" s="1"/>
  <c r="M176" i="52" s="1"/>
  <c r="B175" i="52"/>
  <c r="B174" i="52"/>
  <c r="B173" i="52"/>
  <c r="B172" i="52"/>
  <c r="B170" i="52"/>
  <c r="B168" i="52"/>
  <c r="B166" i="52"/>
  <c r="B164" i="52"/>
  <c r="B163" i="52"/>
  <c r="B162" i="52"/>
  <c r="B161" i="52"/>
  <c r="B160" i="52"/>
  <c r="B158" i="52"/>
  <c r="B156" i="52"/>
  <c r="B155" i="52"/>
  <c r="B154" i="52"/>
  <c r="B152" i="52"/>
  <c r="B150" i="52"/>
  <c r="B149" i="52"/>
  <c r="B148" i="52"/>
  <c r="L148" i="52" s="1"/>
  <c r="M148" i="52" s="1"/>
  <c r="B147" i="52"/>
  <c r="L147" i="52" s="1"/>
  <c r="M147" i="52" s="1"/>
  <c r="B146" i="52"/>
  <c r="L146" i="52" s="1"/>
  <c r="B145" i="52"/>
  <c r="B144" i="52"/>
  <c r="B143" i="52"/>
  <c r="B141" i="52"/>
  <c r="B139" i="52"/>
  <c r="B137" i="52"/>
  <c r="B136" i="52"/>
  <c r="B135" i="52"/>
  <c r="B131" i="52"/>
  <c r="L131" i="52" s="1"/>
  <c r="M131" i="52" s="1"/>
  <c r="B130" i="52"/>
  <c r="B128" i="52"/>
  <c r="B127" i="52"/>
  <c r="B126" i="52"/>
  <c r="B125" i="52"/>
  <c r="L125" i="52" s="1"/>
  <c r="M125" i="52" s="1"/>
  <c r="B124" i="52"/>
  <c r="B123" i="52"/>
  <c r="L123" i="52" s="1"/>
  <c r="M123" i="52" s="1"/>
  <c r="B122" i="52"/>
  <c r="B121" i="52"/>
  <c r="B120" i="52"/>
  <c r="B119" i="52"/>
  <c r="B118" i="52"/>
  <c r="B116" i="52"/>
  <c r="B115" i="52"/>
  <c r="B114" i="52"/>
  <c r="B113" i="52"/>
  <c r="B111" i="52"/>
  <c r="B109" i="52"/>
  <c r="B108" i="52"/>
  <c r="B107" i="52"/>
  <c r="B106" i="52"/>
  <c r="B105" i="52"/>
  <c r="B104" i="52"/>
  <c r="B103" i="52"/>
  <c r="B101" i="52"/>
  <c r="B100" i="52"/>
  <c r="B99" i="52"/>
  <c r="B98" i="52"/>
  <c r="B97" i="52"/>
  <c r="B96" i="52"/>
  <c r="B95" i="52"/>
  <c r="B93" i="52"/>
  <c r="B92" i="52"/>
  <c r="B86" i="52"/>
  <c r="B85" i="52"/>
  <c r="B84" i="52"/>
  <c r="B83" i="52"/>
  <c r="B82" i="52"/>
  <c r="K81" i="52"/>
  <c r="K80" i="52" s="1"/>
  <c r="G81" i="52"/>
  <c r="G80" i="52" s="1"/>
  <c r="B81" i="52"/>
  <c r="B80" i="52"/>
  <c r="B78" i="52"/>
  <c r="B77" i="52"/>
  <c r="K76" i="52"/>
  <c r="G76" i="52"/>
  <c r="B76" i="52"/>
  <c r="B74" i="52"/>
  <c r="B73" i="52"/>
  <c r="B72" i="52"/>
  <c r="K71" i="52"/>
  <c r="K66" i="52" s="1"/>
  <c r="G71" i="52"/>
  <c r="G66" i="52" s="1"/>
  <c r="B71" i="52"/>
  <c r="B69" i="52"/>
  <c r="B68" i="52"/>
  <c r="B67" i="52"/>
  <c r="B66" i="52"/>
  <c r="B64" i="52"/>
  <c r="B63" i="52"/>
  <c r="B62" i="52"/>
  <c r="B61" i="52"/>
  <c r="B60" i="52"/>
  <c r="B59" i="52"/>
  <c r="K58" i="52"/>
  <c r="G58" i="52"/>
  <c r="B58" i="52"/>
  <c r="B57" i="52"/>
  <c r="B55" i="52"/>
  <c r="B54" i="52"/>
  <c r="B53" i="52"/>
  <c r="K52" i="52"/>
  <c r="G52" i="52"/>
  <c r="B52" i="52"/>
  <c r="B50" i="52"/>
  <c r="B49" i="52"/>
  <c r="K48" i="52"/>
  <c r="G48" i="52"/>
  <c r="B48" i="52"/>
  <c r="B47" i="52"/>
  <c r="B46" i="52"/>
  <c r="K45" i="52"/>
  <c r="G45" i="52"/>
  <c r="B45" i="52"/>
  <c r="B44" i="52"/>
  <c r="B42" i="52"/>
  <c r="B41" i="52"/>
  <c r="B40" i="52"/>
  <c r="K39" i="52"/>
  <c r="G39" i="52"/>
  <c r="B39" i="52"/>
  <c r="B37" i="52"/>
  <c r="B36" i="52"/>
  <c r="B35" i="52"/>
  <c r="B34" i="52"/>
  <c r="B33" i="52"/>
  <c r="B32" i="52"/>
  <c r="B31" i="52"/>
  <c r="B30" i="52"/>
  <c r="K29" i="52"/>
  <c r="G29" i="52"/>
  <c r="B29" i="52"/>
  <c r="B27" i="52"/>
  <c r="B26" i="52"/>
  <c r="K25" i="52"/>
  <c r="G25" i="52"/>
  <c r="B25" i="52"/>
  <c r="B23" i="52"/>
  <c r="B22" i="52"/>
  <c r="K21" i="52"/>
  <c r="G21" i="52"/>
  <c r="B21" i="52"/>
  <c r="B20" i="52"/>
  <c r="B16" i="52"/>
  <c r="J15" i="52" s="1"/>
  <c r="B15" i="52"/>
  <c r="B14" i="52"/>
  <c r="B13" i="52"/>
  <c r="J12" i="52" s="1"/>
  <c r="B12" i="52"/>
  <c r="B11" i="52"/>
  <c r="B10" i="52"/>
  <c r="B9" i="52"/>
  <c r="B8" i="52"/>
  <c r="B7" i="52"/>
  <c r="B6" i="52"/>
  <c r="K37" i="51"/>
  <c r="K36" i="51"/>
  <c r="K35" i="51"/>
  <c r="K34" i="51"/>
  <c r="K33" i="51"/>
  <c r="J32" i="51"/>
  <c r="H32" i="51"/>
  <c r="E32" i="51"/>
  <c r="N248" i="52"/>
  <c r="N236" i="52"/>
  <c r="N226" i="52"/>
  <c r="J122" i="52" l="1"/>
  <c r="J198" i="52"/>
  <c r="J197" i="52" s="1"/>
  <c r="L199" i="52"/>
  <c r="J9" i="52"/>
  <c r="J8" i="52" s="1"/>
  <c r="J174" i="52"/>
  <c r="J173" i="52" s="1"/>
  <c r="J184" i="52"/>
  <c r="J128" i="52"/>
  <c r="L130" i="52"/>
  <c r="M130" i="52" s="1"/>
  <c r="N219" i="52"/>
  <c r="L175" i="52"/>
  <c r="L174" i="52" s="1"/>
  <c r="M146" i="52"/>
  <c r="L145" i="52"/>
  <c r="N8" i="52"/>
  <c r="G57" i="52"/>
  <c r="K57" i="52"/>
  <c r="K32" i="51"/>
  <c r="K20" i="52"/>
  <c r="K44" i="52"/>
  <c r="G44" i="52"/>
  <c r="G20" i="52"/>
  <c r="K88" i="52" l="1"/>
  <c r="K168" i="52" s="1"/>
  <c r="G88" i="52"/>
  <c r="G168" i="52" s="1"/>
  <c r="J118" i="52"/>
  <c r="L198" i="52"/>
  <c r="M198" i="52" s="1"/>
  <c r="M199" i="52"/>
  <c r="J172" i="52"/>
  <c r="M175" i="52"/>
  <c r="M174" i="52" s="1"/>
  <c r="G244" i="49"/>
  <c r="G248" i="49"/>
  <c r="G236" i="49"/>
  <c r="G240" i="49"/>
  <c r="G226" i="49"/>
  <c r="G234" i="49"/>
  <c r="G219" i="49"/>
  <c r="G224" i="49"/>
  <c r="G209" i="49"/>
  <c r="G217" i="49"/>
  <c r="N263" i="52"/>
  <c r="G172" i="49"/>
  <c r="N166" i="52"/>
  <c r="G160" i="49" l="1"/>
  <c r="I168" i="49"/>
  <c r="G166" i="49"/>
  <c r="G154" i="49"/>
  <c r="G158" i="49"/>
  <c r="G143" i="49"/>
  <c r="G152" i="49"/>
  <c r="G139" i="49"/>
  <c r="G141" i="49"/>
  <c r="G118" i="49"/>
  <c r="G135" i="49"/>
  <c r="G111" i="49"/>
  <c r="G113" i="49"/>
  <c r="G92" i="49"/>
  <c r="G103" i="49"/>
  <c r="G88" i="49"/>
  <c r="G52" i="49"/>
  <c r="G57" i="49"/>
  <c r="G39" i="49"/>
  <c r="G44" i="49"/>
  <c r="G8" i="49"/>
  <c r="G29" i="49"/>
  <c r="N168" i="52"/>
  <c r="G20" i="49"/>
  <c r="F7" i="1" l="1"/>
  <c r="B1" i="51" l="1"/>
  <c r="I30" i="49"/>
  <c r="D6" i="49"/>
  <c r="E5" i="52"/>
  <c r="F106" i="52"/>
  <c r="F164" i="52"/>
  <c r="F132" i="52"/>
  <c r="F166" i="52"/>
  <c r="F189" i="52"/>
  <c r="F176" i="52"/>
  <c r="F144" i="52"/>
  <c r="F115" i="52"/>
  <c r="F256" i="52"/>
  <c r="F237" i="52"/>
  <c r="F206" i="52"/>
  <c r="E185" i="49"/>
  <c r="F124" i="52"/>
  <c r="F255" i="52"/>
  <c r="F246" i="52"/>
  <c r="F236" i="52"/>
  <c r="F226" i="52"/>
  <c r="F214" i="52"/>
  <c r="F205" i="52"/>
  <c r="F197" i="52"/>
  <c r="F188" i="52"/>
  <c r="E192" i="49"/>
  <c r="E184" i="49"/>
  <c r="F175" i="52"/>
  <c r="F163" i="52"/>
  <c r="F152" i="52"/>
  <c r="F143" i="52"/>
  <c r="F131" i="52"/>
  <c r="F123" i="52"/>
  <c r="F114" i="52"/>
  <c r="F104" i="52"/>
  <c r="F263" i="52"/>
  <c r="F254" i="52"/>
  <c r="F245" i="52"/>
  <c r="F234" i="52"/>
  <c r="F224" i="52"/>
  <c r="F213" i="52"/>
  <c r="F204" i="52"/>
  <c r="F195" i="52"/>
  <c r="F187" i="52"/>
  <c r="E191" i="49"/>
  <c r="F182" i="52"/>
  <c r="F174" i="52"/>
  <c r="F162" i="52"/>
  <c r="F150" i="52"/>
  <c r="F141" i="52"/>
  <c r="F130" i="52"/>
  <c r="F122" i="52"/>
  <c r="F113" i="52"/>
  <c r="F103" i="52"/>
  <c r="F261" i="52"/>
  <c r="F253" i="52"/>
  <c r="F244" i="52"/>
  <c r="F232" i="52"/>
  <c r="F222" i="52"/>
  <c r="F212" i="52"/>
  <c r="F203" i="52"/>
  <c r="F194" i="52"/>
  <c r="E190" i="49"/>
  <c r="F181" i="52"/>
  <c r="F173" i="52"/>
  <c r="F161" i="52"/>
  <c r="F139" i="52"/>
  <c r="F129" i="52"/>
  <c r="F121" i="52"/>
  <c r="F111" i="52"/>
  <c r="F231" i="52"/>
  <c r="F202" i="52"/>
  <c r="E189" i="49"/>
  <c r="F148" i="52"/>
  <c r="F109" i="52"/>
  <c r="F149" i="52"/>
  <c r="F180" i="52"/>
  <c r="F137" i="52"/>
  <c r="F186" i="52"/>
  <c r="F211" i="52"/>
  <c r="F185" i="52"/>
  <c r="F160" i="52"/>
  <c r="F120" i="52"/>
  <c r="F260" i="52"/>
  <c r="F252" i="52"/>
  <c r="F242" i="52"/>
  <c r="F221" i="52"/>
  <c r="F193" i="52"/>
  <c r="F172" i="52"/>
  <c r="F128" i="52"/>
  <c r="F259" i="52"/>
  <c r="F251" i="52"/>
  <c r="F241" i="52"/>
  <c r="F230" i="52"/>
  <c r="F220" i="52"/>
  <c r="F210" i="52"/>
  <c r="F201" i="52"/>
  <c r="F192" i="52"/>
  <c r="F184" i="52"/>
  <c r="E188" i="49"/>
  <c r="F179" i="52"/>
  <c r="F170" i="52"/>
  <c r="F158" i="52"/>
  <c r="F147" i="52"/>
  <c r="F136" i="52"/>
  <c r="F127" i="52"/>
  <c r="F119" i="52"/>
  <c r="F108" i="52"/>
  <c r="F258" i="52"/>
  <c r="F250" i="52"/>
  <c r="F240" i="52"/>
  <c r="F229" i="52"/>
  <c r="F219" i="52"/>
  <c r="F209" i="52"/>
  <c r="F200" i="52"/>
  <c r="F191" i="52"/>
  <c r="E195" i="49"/>
  <c r="E187" i="49"/>
  <c r="F178" i="52"/>
  <c r="F168" i="52"/>
  <c r="F156" i="52"/>
  <c r="F146" i="52"/>
  <c r="F135" i="52"/>
  <c r="F126" i="52"/>
  <c r="F118" i="52"/>
  <c r="F107" i="52"/>
  <c r="F257" i="52"/>
  <c r="F249" i="52"/>
  <c r="F238" i="52"/>
  <c r="F228" i="52"/>
  <c r="F217" i="52"/>
  <c r="F207" i="52"/>
  <c r="F199" i="52"/>
  <c r="F190" i="52"/>
  <c r="E194" i="49"/>
  <c r="E186" i="49"/>
  <c r="F177" i="52"/>
  <c r="F155" i="52"/>
  <c r="F145" i="52"/>
  <c r="F133" i="52"/>
  <c r="F125" i="52"/>
  <c r="F116" i="52"/>
  <c r="F248" i="52"/>
  <c r="F227" i="52"/>
  <c r="F215" i="52"/>
  <c r="F198" i="52"/>
  <c r="E193" i="49"/>
  <c r="F154" i="52"/>
  <c r="F105" i="52"/>
  <c r="F83" i="52"/>
  <c r="F73" i="52"/>
  <c r="F63" i="52"/>
  <c r="F54" i="52"/>
  <c r="F45" i="52"/>
  <c r="F35" i="52"/>
  <c r="F26" i="52"/>
  <c r="F16" i="52"/>
  <c r="F8" i="52"/>
  <c r="F69" i="52"/>
  <c r="F60" i="52"/>
  <c r="F32" i="52"/>
  <c r="F93" i="52"/>
  <c r="F82" i="52"/>
  <c r="F72" i="52"/>
  <c r="F62" i="52"/>
  <c r="F53" i="52"/>
  <c r="F44" i="52"/>
  <c r="F34" i="52"/>
  <c r="F25" i="52"/>
  <c r="F15" i="52"/>
  <c r="F7" i="52"/>
  <c r="F90" i="52"/>
  <c r="F50" i="52"/>
  <c r="F22" i="52"/>
  <c r="F92" i="52"/>
  <c r="F81" i="52"/>
  <c r="F71" i="52"/>
  <c r="F61" i="52"/>
  <c r="F52" i="52"/>
  <c r="F42" i="52"/>
  <c r="F33" i="52"/>
  <c r="F23" i="52"/>
  <c r="F14" i="52"/>
  <c r="F80" i="52"/>
  <c r="F41" i="52"/>
  <c r="F13" i="52"/>
  <c r="F88" i="52"/>
  <c r="F78" i="52"/>
  <c r="F68" i="52"/>
  <c r="F59" i="52"/>
  <c r="F49" i="52"/>
  <c r="F40" i="52"/>
  <c r="F31" i="52"/>
  <c r="F21" i="52"/>
  <c r="F12" i="52"/>
  <c r="F74" i="52"/>
  <c r="F46" i="52"/>
  <c r="F17" i="52"/>
  <c r="F86" i="52"/>
  <c r="F77" i="52"/>
  <c r="F67" i="52"/>
  <c r="F58" i="52"/>
  <c r="F48" i="52"/>
  <c r="F39" i="52"/>
  <c r="F30" i="52"/>
  <c r="F20" i="52"/>
  <c r="F11" i="52"/>
  <c r="F64" i="52"/>
  <c r="F36" i="52"/>
  <c r="F9" i="52"/>
  <c r="F85" i="52"/>
  <c r="F76" i="52"/>
  <c r="F66" i="52"/>
  <c r="F57" i="52"/>
  <c r="F47" i="52"/>
  <c r="F37" i="52"/>
  <c r="F29" i="52"/>
  <c r="F18" i="52"/>
  <c r="F10" i="52"/>
  <c r="F84" i="52"/>
  <c r="F55" i="52"/>
  <c r="F27" i="52"/>
  <c r="G56" i="5"/>
  <c r="C59" i="5" s="1"/>
  <c r="I35" i="49"/>
  <c r="E256" i="49"/>
  <c r="E248" i="49"/>
  <c r="E237" i="49"/>
  <c r="E227" i="49"/>
  <c r="E215" i="49"/>
  <c r="E206" i="49"/>
  <c r="E198" i="49"/>
  <c r="E182" i="49"/>
  <c r="E160" i="49"/>
  <c r="E148" i="49"/>
  <c r="E137" i="49"/>
  <c r="E128" i="49"/>
  <c r="E120" i="49"/>
  <c r="E103" i="49"/>
  <c r="E78" i="49"/>
  <c r="E68" i="49"/>
  <c r="E59" i="49"/>
  <c r="E49" i="49"/>
  <c r="E40" i="49"/>
  <c r="E31" i="49"/>
  <c r="E21" i="49"/>
  <c r="E12" i="49"/>
  <c r="I33" i="49"/>
  <c r="E265" i="49"/>
  <c r="E255" i="49"/>
  <c r="E246" i="49"/>
  <c r="E236" i="49"/>
  <c r="E226" i="49"/>
  <c r="E214" i="49"/>
  <c r="E205" i="49"/>
  <c r="E197" i="49"/>
  <c r="E170" i="49"/>
  <c r="E158" i="49"/>
  <c r="E147" i="49"/>
  <c r="E136" i="49"/>
  <c r="E127" i="49"/>
  <c r="E119" i="49"/>
  <c r="E86" i="49"/>
  <c r="E77" i="49"/>
  <c r="E67" i="49"/>
  <c r="E58" i="49"/>
  <c r="E48" i="49"/>
  <c r="E39" i="49"/>
  <c r="E30" i="49"/>
  <c r="E20" i="49"/>
  <c r="E11" i="49"/>
  <c r="C6" i="49"/>
  <c r="E71" i="49"/>
  <c r="E33" i="49"/>
  <c r="G6" i="49"/>
  <c r="E217" i="49"/>
  <c r="E161" i="49"/>
  <c r="E121" i="49"/>
  <c r="E60" i="49"/>
  <c r="E50" i="49"/>
  <c r="E13" i="49"/>
  <c r="E228" i="49"/>
  <c r="E263" i="49"/>
  <c r="E254" i="49"/>
  <c r="E245" i="49"/>
  <c r="E234" i="49"/>
  <c r="E224" i="49"/>
  <c r="E213" i="49"/>
  <c r="E204" i="49"/>
  <c r="E168" i="49"/>
  <c r="E156" i="49"/>
  <c r="E146" i="49"/>
  <c r="E135" i="49"/>
  <c r="E126" i="49"/>
  <c r="E118" i="49"/>
  <c r="E85" i="49"/>
  <c r="E76" i="49"/>
  <c r="E66" i="49"/>
  <c r="E57" i="49"/>
  <c r="E47" i="49"/>
  <c r="E37" i="49"/>
  <c r="E29" i="49"/>
  <c r="E18" i="49"/>
  <c r="E10" i="49"/>
  <c r="E46" i="49"/>
  <c r="E27" i="49"/>
  <c r="E9" i="49"/>
  <c r="E251" i="49"/>
  <c r="E220" i="49"/>
  <c r="E163" i="49"/>
  <c r="E131" i="49"/>
  <c r="E82" i="49"/>
  <c r="E62" i="49"/>
  <c r="E34" i="49"/>
  <c r="E7" i="49"/>
  <c r="E250" i="49"/>
  <c r="E219" i="49"/>
  <c r="E150" i="49"/>
  <c r="E122" i="49"/>
  <c r="E61" i="49"/>
  <c r="E23" i="49"/>
  <c r="E238" i="49"/>
  <c r="E129" i="49"/>
  <c r="E69" i="49"/>
  <c r="E22" i="49"/>
  <c r="E261" i="49"/>
  <c r="E253" i="49"/>
  <c r="E244" i="49"/>
  <c r="E232" i="49"/>
  <c r="E222" i="49"/>
  <c r="E212" i="49"/>
  <c r="E203" i="49"/>
  <c r="E166" i="49"/>
  <c r="E155" i="49"/>
  <c r="E145" i="49"/>
  <c r="E133" i="49"/>
  <c r="E125" i="49"/>
  <c r="E116" i="49"/>
  <c r="E84" i="49"/>
  <c r="E74" i="49"/>
  <c r="E64" i="49"/>
  <c r="E55" i="49"/>
  <c r="E36" i="49"/>
  <c r="E17" i="49"/>
  <c r="E241" i="49"/>
  <c r="E201" i="49"/>
  <c r="E143" i="49"/>
  <c r="E123" i="49"/>
  <c r="E72" i="49"/>
  <c r="E44" i="49"/>
  <c r="E15" i="49"/>
  <c r="E258" i="49"/>
  <c r="E229" i="49"/>
  <c r="E200" i="49"/>
  <c r="E162" i="49"/>
  <c r="E130" i="49"/>
  <c r="E81" i="49"/>
  <c r="E52" i="49"/>
  <c r="E14" i="49"/>
  <c r="E257" i="49"/>
  <c r="E207" i="49"/>
  <c r="E149" i="49"/>
  <c r="E111" i="49"/>
  <c r="E41" i="49"/>
  <c r="E260" i="49"/>
  <c r="E252" i="49"/>
  <c r="E242" i="49"/>
  <c r="E231" i="49"/>
  <c r="E221" i="49"/>
  <c r="E211" i="49"/>
  <c r="E202" i="49"/>
  <c r="E164" i="49"/>
  <c r="E154" i="49"/>
  <c r="E144" i="49"/>
  <c r="E132" i="49"/>
  <c r="E124" i="49"/>
  <c r="E115" i="49"/>
  <c r="E83" i="49"/>
  <c r="E73" i="49"/>
  <c r="E63" i="49"/>
  <c r="E54" i="49"/>
  <c r="E45" i="49"/>
  <c r="E35" i="49"/>
  <c r="E26" i="49"/>
  <c r="E16" i="49"/>
  <c r="E8" i="49"/>
  <c r="E259" i="49"/>
  <c r="E230" i="49"/>
  <c r="E210" i="49"/>
  <c r="E152" i="49"/>
  <c r="E114" i="49"/>
  <c r="E53" i="49"/>
  <c r="E25" i="49"/>
  <c r="E240" i="49"/>
  <c r="E209" i="49"/>
  <c r="E141" i="49"/>
  <c r="E113" i="49"/>
  <c r="E42" i="49"/>
  <c r="E249" i="49"/>
  <c r="E199" i="49"/>
  <c r="E139" i="49"/>
  <c r="E80" i="49"/>
  <c r="E32" i="49"/>
  <c r="B1" i="2"/>
  <c r="B17" i="1"/>
  <c r="L4" i="52"/>
  <c r="F99" i="52"/>
  <c r="C19" i="1"/>
  <c r="B15" i="1"/>
  <c r="K4" i="52"/>
  <c r="F98" i="52"/>
  <c r="C18" i="1"/>
  <c r="J4" i="52"/>
  <c r="F97" i="52"/>
  <c r="C17" i="1"/>
  <c r="I4" i="52"/>
  <c r="F96" i="52"/>
  <c r="C21" i="1"/>
  <c r="H4" i="52"/>
  <c r="F95" i="52"/>
  <c r="B21" i="1"/>
  <c r="B19" i="1"/>
  <c r="B18" i="1"/>
  <c r="B4" i="52"/>
  <c r="C5" i="52"/>
  <c r="F101" i="52"/>
  <c r="M4" i="52"/>
  <c r="F100" i="52"/>
  <c r="B1" i="52"/>
  <c r="D5" i="52"/>
  <c r="F4" i="52"/>
  <c r="E176" i="49"/>
  <c r="E106" i="49"/>
  <c r="E97" i="49"/>
  <c r="E108" i="49"/>
  <c r="E175" i="49"/>
  <c r="E105" i="49"/>
  <c r="E96" i="49"/>
  <c r="E174" i="49"/>
  <c r="E104" i="49"/>
  <c r="E95" i="49"/>
  <c r="E99" i="49"/>
  <c r="E181" i="49"/>
  <c r="E173" i="49"/>
  <c r="E93" i="49"/>
  <c r="E88" i="49"/>
  <c r="E180" i="49"/>
  <c r="E172" i="49"/>
  <c r="E101" i="49"/>
  <c r="E92" i="49"/>
  <c r="E5" i="49"/>
  <c r="B1" i="49"/>
  <c r="E179" i="49"/>
  <c r="E109" i="49"/>
  <c r="E100" i="49"/>
  <c r="E90" i="49"/>
  <c r="B5" i="49"/>
  <c r="E178" i="49"/>
  <c r="E177" i="49"/>
  <c r="E107" i="49"/>
  <c r="E98" i="49"/>
  <c r="G7" i="1"/>
  <c r="D56" i="5" l="1"/>
  <c r="C56" i="5"/>
  <c r="D57" i="5"/>
  <c r="E57" i="5"/>
  <c r="E56" i="5"/>
  <c r="C57" i="5"/>
  <c r="D59" i="5"/>
  <c r="E59" i="5"/>
  <c r="L234" i="52" l="1"/>
  <c r="M234" i="52" s="1"/>
  <c r="L224" i="52"/>
  <c r="M224" i="52" s="1"/>
  <c r="L191" i="52"/>
  <c r="M191" i="52" s="1"/>
  <c r="L189" i="52"/>
  <c r="M189" i="52" s="1"/>
  <c r="L187" i="52"/>
  <c r="M187" i="52" s="1"/>
  <c r="L181" i="52"/>
  <c r="M181" i="52" s="1"/>
  <c r="M1" i="52" s="1"/>
  <c r="L178" i="52"/>
  <c r="M178" i="52" s="1"/>
  <c r="L158" i="52"/>
  <c r="M158" i="52" s="1"/>
  <c r="L152" i="52"/>
  <c r="M152" i="52" s="1"/>
  <c r="L139" i="52"/>
  <c r="M139" i="52" s="1"/>
  <c r="L111" i="52"/>
  <c r="M111" i="52" s="1"/>
  <c r="L115" i="52"/>
  <c r="M115" i="52" s="1"/>
  <c r="L107" i="52"/>
  <c r="M107" i="52" s="1"/>
  <c r="L101" i="52"/>
  <c r="M101" i="52" s="1"/>
  <c r="L97" i="52"/>
  <c r="M97" i="52" s="1"/>
  <c r="L180" i="52"/>
  <c r="M180" i="52" s="1"/>
  <c r="L141" i="52"/>
  <c r="M141" i="52" s="1"/>
  <c r="L163" i="52"/>
  <c r="M163" i="52" s="1"/>
  <c r="L129" i="52"/>
  <c r="L222" i="52"/>
  <c r="M222" i="52" s="1"/>
  <c r="M253" i="52"/>
  <c r="L251" i="52"/>
  <c r="M251" i="52" s="1"/>
  <c r="L242" i="52"/>
  <c r="M242" i="52" s="1"/>
  <c r="L238" i="52"/>
  <c r="M238" i="52" s="1"/>
  <c r="L232" i="52"/>
  <c r="M232" i="52" s="1"/>
  <c r="L230" i="52"/>
  <c r="M230" i="52" s="1"/>
  <c r="L228" i="52"/>
  <c r="M228" i="52" s="1"/>
  <c r="L214" i="52"/>
  <c r="M214" i="52" s="1"/>
  <c r="L210" i="52"/>
  <c r="M210" i="52" s="1"/>
  <c r="L204" i="52"/>
  <c r="M204" i="52" s="1"/>
  <c r="L202" i="52"/>
  <c r="M202" i="52" s="1"/>
  <c r="L164" i="52"/>
  <c r="M164" i="52" s="1"/>
  <c r="L162" i="52"/>
  <c r="M162" i="52" s="1"/>
  <c r="L156" i="52"/>
  <c r="M156" i="52" s="1"/>
  <c r="L149" i="52"/>
  <c r="M149" i="52" s="1"/>
  <c r="L126" i="52"/>
  <c r="M126" i="52" s="1"/>
  <c r="L109" i="52"/>
  <c r="M109" i="52" s="1"/>
  <c r="L105" i="52"/>
  <c r="M105" i="52" s="1"/>
  <c r="L99" i="52"/>
  <c r="M99" i="52" s="1"/>
  <c r="L93" i="52"/>
  <c r="L177" i="52"/>
  <c r="L137" i="52"/>
  <c r="M137" i="52" s="1"/>
  <c r="L124" i="52"/>
  <c r="L108" i="52"/>
  <c r="M108" i="52" s="1"/>
  <c r="L98" i="52"/>
  <c r="M98" i="52" s="1"/>
  <c r="L246" i="52"/>
  <c r="M246" i="52" s="1"/>
  <c r="L190" i="52"/>
  <c r="M190" i="52" s="1"/>
  <c r="L188" i="52"/>
  <c r="M188" i="52" s="1"/>
  <c r="L182" i="52"/>
  <c r="M182" i="52" s="1"/>
  <c r="L121" i="52"/>
  <c r="M121" i="52" s="1"/>
  <c r="L106" i="52"/>
  <c r="M106" i="52" s="1"/>
  <c r="L221" i="52"/>
  <c r="M221" i="52" s="1"/>
  <c r="L252" i="52"/>
  <c r="M252" i="52" s="1"/>
  <c r="L250" i="52"/>
  <c r="L231" i="52"/>
  <c r="M231" i="52" s="1"/>
  <c r="L229" i="52"/>
  <c r="M229" i="52" s="1"/>
  <c r="L212" i="52"/>
  <c r="M212" i="52" s="1"/>
  <c r="L205" i="52"/>
  <c r="M205" i="52" s="1"/>
  <c r="L203" i="52"/>
  <c r="M203" i="52" s="1"/>
  <c r="L116" i="52"/>
  <c r="M116" i="52" s="1"/>
  <c r="L100" i="52"/>
  <c r="M100" i="52" s="1"/>
  <c r="L73" i="52"/>
  <c r="M73" i="52" s="1"/>
  <c r="L13" i="52"/>
  <c r="L35" i="52"/>
  <c r="M35" i="52" s="1"/>
  <c r="L63" i="52"/>
  <c r="M63" i="52" s="1"/>
  <c r="L84" i="52"/>
  <c r="M84" i="52" s="1"/>
  <c r="L50" i="52"/>
  <c r="M50" i="52" s="1"/>
  <c r="L10" i="52"/>
  <c r="L23" i="52"/>
  <c r="M23" i="52" s="1"/>
  <c r="L64" i="52"/>
  <c r="M64" i="52" s="1"/>
  <c r="L49" i="52"/>
  <c r="M49" i="52" s="1"/>
  <c r="L27" i="52"/>
  <c r="M27" i="52" s="1"/>
  <c r="L14" i="52"/>
  <c r="M14" i="52" s="1"/>
  <c r="L42" i="52"/>
  <c r="M42" i="52" s="1"/>
  <c r="L54" i="52"/>
  <c r="M54" i="52" s="1"/>
  <c r="L206" i="52"/>
  <c r="M206" i="52" s="1"/>
  <c r="L83" i="52"/>
  <c r="M83" i="52" s="1"/>
  <c r="L37" i="52"/>
  <c r="M37" i="52" s="1"/>
  <c r="L55" i="52"/>
  <c r="M55" i="52" s="1"/>
  <c r="L86" i="52"/>
  <c r="M86" i="52" s="1"/>
  <c r="L46" i="52"/>
  <c r="M46" i="52" s="1"/>
  <c r="L68" i="52"/>
  <c r="M68" i="52" s="1"/>
  <c r="L61" i="52"/>
  <c r="M61" i="52" s="1"/>
  <c r="L47" i="52"/>
  <c r="M47" i="52" s="1"/>
  <c r="L36" i="52"/>
  <c r="M36" i="52" s="1"/>
  <c r="L33" i="52"/>
  <c r="M33" i="52" s="1"/>
  <c r="L18" i="52"/>
  <c r="M18" i="52" s="1"/>
  <c r="L85" i="52"/>
  <c r="M85" i="52" s="1"/>
  <c r="L74" i="52"/>
  <c r="M74" i="52" s="1"/>
  <c r="L41" i="52"/>
  <c r="M41" i="52" s="1"/>
  <c r="L78" i="52"/>
  <c r="M78" i="52" s="1"/>
  <c r="L11" i="52"/>
  <c r="M11" i="52" s="1"/>
  <c r="L62" i="52"/>
  <c r="M62" i="52" s="1"/>
  <c r="L16" i="52"/>
  <c r="L60" i="52"/>
  <c r="M60" i="52" s="1"/>
  <c r="M250" i="52" l="1"/>
  <c r="L249" i="52"/>
  <c r="L173" i="52"/>
  <c r="M10" i="52"/>
  <c r="L9" i="52"/>
  <c r="M124" i="52"/>
  <c r="L122" i="52"/>
  <c r="M122" i="52" s="1"/>
  <c r="L128" i="52"/>
  <c r="M128" i="52" s="1"/>
  <c r="M129" i="52"/>
  <c r="M16" i="52"/>
  <c r="L15" i="52"/>
  <c r="M13" i="52"/>
  <c r="L12" i="52"/>
  <c r="M12" i="52" s="1"/>
  <c r="M177" i="52"/>
  <c r="M173" i="52" s="1"/>
  <c r="M93" i="52"/>
  <c r="J145" i="52"/>
  <c r="J143" i="52" s="1"/>
  <c r="L144" i="52"/>
  <c r="L143" i="52" s="1"/>
  <c r="L161" i="52"/>
  <c r="J160" i="52"/>
  <c r="L237" i="52"/>
  <c r="J236" i="52"/>
  <c r="L114" i="52"/>
  <c r="J113" i="52"/>
  <c r="L201" i="52"/>
  <c r="L197" i="52" s="1"/>
  <c r="L227" i="52"/>
  <c r="J226" i="52"/>
  <c r="L220" i="52"/>
  <c r="J219" i="52"/>
  <c r="L241" i="52"/>
  <c r="J240" i="52"/>
  <c r="L96" i="52"/>
  <c r="J95" i="52"/>
  <c r="J92" i="52" s="1"/>
  <c r="L119" i="52"/>
  <c r="L185" i="52"/>
  <c r="L184" i="52" s="1"/>
  <c r="L155" i="52"/>
  <c r="J154" i="52"/>
  <c r="L104" i="52"/>
  <c r="J103" i="52"/>
  <c r="L136" i="52"/>
  <c r="J135" i="52"/>
  <c r="J244" i="52"/>
  <c r="L245" i="52"/>
  <c r="L215" i="52"/>
  <c r="J209" i="52"/>
  <c r="J48" i="52"/>
  <c r="L82" i="52"/>
  <c r="J81" i="52"/>
  <c r="J80" i="52" s="1"/>
  <c r="L30" i="52"/>
  <c r="J29" i="52"/>
  <c r="J71" i="52"/>
  <c r="J66" i="52" s="1"/>
  <c r="L72" i="52"/>
  <c r="L26" i="52"/>
  <c r="J25" i="52"/>
  <c r="J52" i="52"/>
  <c r="L53" i="52"/>
  <c r="L40" i="52"/>
  <c r="J39" i="52"/>
  <c r="J45" i="52"/>
  <c r="L59" i="52"/>
  <c r="J58" i="52"/>
  <c r="L77" i="52"/>
  <c r="J76" i="52"/>
  <c r="L67" i="52"/>
  <c r="L22" i="52"/>
  <c r="J21" i="52"/>
  <c r="L8" i="52" l="1"/>
  <c r="L118" i="52"/>
  <c r="M118" i="52" s="1"/>
  <c r="L172" i="52"/>
  <c r="M144" i="52"/>
  <c r="M119" i="52"/>
  <c r="L95" i="52"/>
  <c r="M96" i="52"/>
  <c r="M220" i="52"/>
  <c r="L219" i="52"/>
  <c r="M219" i="52" s="1"/>
  <c r="M237" i="52"/>
  <c r="L236" i="52"/>
  <c r="M236" i="52" s="1"/>
  <c r="M104" i="52"/>
  <c r="L103" i="52"/>
  <c r="M103" i="52" s="1"/>
  <c r="M185" i="52"/>
  <c r="M184" i="52"/>
  <c r="L244" i="52"/>
  <c r="M244" i="52" s="1"/>
  <c r="M245" i="52"/>
  <c r="L240" i="52"/>
  <c r="M240" i="52" s="1"/>
  <c r="M241" i="52"/>
  <c r="M227" i="52"/>
  <c r="L226" i="52"/>
  <c r="M226" i="52" s="1"/>
  <c r="M114" i="52"/>
  <c r="L113" i="52"/>
  <c r="M113" i="52" s="1"/>
  <c r="M161" i="52"/>
  <c r="L160" i="52"/>
  <c r="M160" i="52" s="1"/>
  <c r="M201" i="52"/>
  <c r="M197" i="52"/>
  <c r="J166" i="52"/>
  <c r="M136" i="52"/>
  <c r="L135" i="52"/>
  <c r="M135" i="52" s="1"/>
  <c r="M155" i="52"/>
  <c r="L154" i="52"/>
  <c r="M154" i="52" s="1"/>
  <c r="M215" i="52"/>
  <c r="L209" i="52"/>
  <c r="M209" i="52" s="1"/>
  <c r="J57" i="52"/>
  <c r="M15" i="52"/>
  <c r="J20" i="52"/>
  <c r="J44" i="52"/>
  <c r="M67" i="52"/>
  <c r="L52" i="52"/>
  <c r="M52" i="52" s="1"/>
  <c r="M53" i="52"/>
  <c r="L29" i="52"/>
  <c r="M29" i="52" s="1"/>
  <c r="M30" i="52"/>
  <c r="M82" i="52"/>
  <c r="L81" i="52"/>
  <c r="L48" i="52"/>
  <c r="M48" i="52" s="1"/>
  <c r="L71" i="52"/>
  <c r="M72" i="52"/>
  <c r="L45" i="52"/>
  <c r="L21" i="52"/>
  <c r="M22" i="52"/>
  <c r="L76" i="52"/>
  <c r="M76" i="52" s="1"/>
  <c r="M77" i="52"/>
  <c r="L58" i="52"/>
  <c r="M59" i="52"/>
  <c r="L39" i="52"/>
  <c r="M39" i="52" s="1"/>
  <c r="M40" i="52"/>
  <c r="M9" i="52"/>
  <c r="M26" i="52"/>
  <c r="L25" i="52"/>
  <c r="M25" i="52" s="1"/>
  <c r="J88" i="52" l="1"/>
  <c r="J168" i="52" s="1"/>
  <c r="M95" i="52"/>
  <c r="L92" i="52"/>
  <c r="M92" i="52" s="1"/>
  <c r="M145" i="52"/>
  <c r="M71" i="52"/>
  <c r="L66" i="52"/>
  <c r="M66" i="52" s="1"/>
  <c r="M58" i="52"/>
  <c r="L20" i="52"/>
  <c r="M20" i="52" s="1"/>
  <c r="M21" i="52"/>
  <c r="M45" i="52"/>
  <c r="L44" i="52"/>
  <c r="M44" i="52" s="1"/>
  <c r="M8" i="52"/>
  <c r="M81" i="52"/>
  <c r="L80" i="52"/>
  <c r="M80" i="52" s="1"/>
  <c r="M172" i="52" l="1"/>
  <c r="M143" i="52"/>
  <c r="L166" i="52"/>
  <c r="M166" i="52" s="1"/>
  <c r="L57" i="52"/>
  <c r="M57" i="52" s="1"/>
  <c r="L88" i="52" l="1"/>
  <c r="L168" i="52" l="1"/>
  <c r="M168" i="52" s="1"/>
  <c r="M88" i="52"/>
  <c r="F265" i="49"/>
  <c r="B9" i="1" l="1"/>
  <c r="B14" i="1"/>
  <c r="B1" i="1"/>
  <c r="B11" i="1"/>
  <c r="J263" i="52" l="1"/>
  <c r="G263" i="52"/>
  <c r="L263" i="52" l="1"/>
  <c r="M249" i="52"/>
  <c r="M248" i="52" l="1"/>
  <c r="M263" i="52"/>
  <c r="M2" i="52" s="1"/>
  <c r="D13" i="53" s="1"/>
  <c r="D16" i="53" s="1"/>
  <c r="D17" i="53" s="1"/>
  <c r="D18" i="53" s="1"/>
  <c r="D21" i="53" s="1"/>
  <c r="D22" i="53" s="1"/>
  <c r="D24" i="53" l="1"/>
  <c r="I7" i="53" s="1"/>
  <c r="D25"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<sst xmlns="http://schemas.openxmlformats.org/spreadsheetml/2006/main" count="1926" uniqueCount="1674">
  <si>
    <t>Intro</t>
  </si>
  <si>
    <t>Update list</t>
  </si>
  <si>
    <t>Aktualisierungsliste</t>
  </si>
  <si>
    <t>Liste des mises-à-jour</t>
  </si>
  <si>
    <t>General inputs</t>
  </si>
  <si>
    <t>Entrées générales</t>
  </si>
  <si>
    <t>Liabilities</t>
  </si>
  <si>
    <t>Expected insurance result</t>
  </si>
  <si>
    <t>Description</t>
  </si>
  <si>
    <t>Exposure</t>
  </si>
  <si>
    <t>Comments</t>
  </si>
  <si>
    <t>CHF</t>
  </si>
  <si>
    <t>EUR</t>
  </si>
  <si>
    <t>GBP</t>
  </si>
  <si>
    <t>USD</t>
  </si>
  <si>
    <t>Value</t>
  </si>
  <si>
    <t>Private Equity</t>
  </si>
  <si>
    <t>Hedge funds</t>
  </si>
  <si>
    <t>Private equity</t>
  </si>
  <si>
    <t>JPY</t>
  </si>
  <si>
    <t>English</t>
  </si>
  <si>
    <t>Deutsch</t>
  </si>
  <si>
    <t>Français</t>
  </si>
  <si>
    <t>Leben</t>
  </si>
  <si>
    <t>Eingabe</t>
  </si>
  <si>
    <t>Explanations</t>
  </si>
  <si>
    <t>Nr.</t>
  </si>
  <si>
    <t>Datum</t>
  </si>
  <si>
    <t>Schaden</t>
  </si>
  <si>
    <t>Kranken</t>
  </si>
  <si>
    <t>Allgemeine Eingaben</t>
  </si>
  <si>
    <t>Sprache auswählen; Choisir la langue; Select language</t>
  </si>
  <si>
    <t>Name der Versicherungsgesellschaft</t>
  </si>
  <si>
    <t>Muster-Gesellschaft</t>
  </si>
  <si>
    <t>Kontaktperson</t>
  </si>
  <si>
    <t>Parameters</t>
  </si>
  <si>
    <t>Life</t>
  </si>
  <si>
    <t>Health</t>
  </si>
  <si>
    <t>Input</t>
  </si>
  <si>
    <t>Vie</t>
  </si>
  <si>
    <t>Maladie</t>
  </si>
  <si>
    <t>Entrée</t>
  </si>
  <si>
    <t>Parameter</t>
  </si>
  <si>
    <t>Paramètres</t>
  </si>
  <si>
    <t>Nom de la société d'assurance</t>
  </si>
  <si>
    <t>Name of the insurance company</t>
  </si>
  <si>
    <t>Contact Person</t>
  </si>
  <si>
    <t>Personne de contact</t>
  </si>
  <si>
    <t>SST-Währung</t>
  </si>
  <si>
    <t>Monnaie du SST</t>
  </si>
  <si>
    <t>Erwartetes versicherungstechnisches Ergebnis</t>
  </si>
  <si>
    <t>Hedge Funds</t>
  </si>
  <si>
    <t>Wohnimmobilien</t>
  </si>
  <si>
    <t>Erklärungen</t>
  </si>
  <si>
    <t>Explications</t>
  </si>
  <si>
    <t>Bemerkungen</t>
  </si>
  <si>
    <t>Remarques</t>
  </si>
  <si>
    <t>Wert</t>
  </si>
  <si>
    <t>Valeur</t>
  </si>
  <si>
    <t>Exposition</t>
  </si>
  <si>
    <t>Mio.</t>
  </si>
  <si>
    <t>million</t>
  </si>
  <si>
    <t>Allgemeine Begriffe</t>
  </si>
  <si>
    <t>General terms</t>
  </si>
  <si>
    <t>Beschreibung</t>
  </si>
  <si>
    <t>basis points (bp)</t>
  </si>
  <si>
    <t>Basispunkte (bp)</t>
  </si>
  <si>
    <t>Points de base (bp)</t>
  </si>
  <si>
    <t>Hypotheken</t>
  </si>
  <si>
    <t>Immobilien</t>
  </si>
  <si>
    <t>Autres immeubles</t>
  </si>
  <si>
    <t>Hypothèques</t>
  </si>
  <si>
    <t>Dommages</t>
  </si>
  <si>
    <t>Résultat d'assurance attendu</t>
  </si>
  <si>
    <t>Non Life</t>
  </si>
  <si>
    <t>SST currency</t>
  </si>
  <si>
    <t>Dieses SST-Template enthält Tabellenblätter mit verschiedenen Registerfarben. Es wird die folgende Farbenkonvention verwendet:</t>
  </si>
  <si>
    <t>Angaben</t>
  </si>
  <si>
    <t>Data</t>
  </si>
  <si>
    <t>Tabellenblätter mit Informationen und Parametern. Diese Tabellenblätter sind in der Regel nicht zu ändern.</t>
  </si>
  <si>
    <t>Données</t>
  </si>
  <si>
    <t>Tabellenblätter, die vom Versicherungsunternehmen auszufüllen sind.</t>
  </si>
  <si>
    <t>T.01.01</t>
  </si>
  <si>
    <t>T.01.03</t>
  </si>
  <si>
    <t>T.01.04</t>
  </si>
  <si>
    <t>T.01.05</t>
  </si>
  <si>
    <t>T.01.06</t>
  </si>
  <si>
    <t>T.01.07</t>
  </si>
  <si>
    <t>T.01.08</t>
  </si>
  <si>
    <t>T.01.09</t>
  </si>
  <si>
    <t>T.01.02</t>
  </si>
  <si>
    <t>T.02.01</t>
  </si>
  <si>
    <t>T.08.01</t>
  </si>
  <si>
    <t>T.02.02</t>
  </si>
  <si>
    <t>T.02.03</t>
  </si>
  <si>
    <t>T.02.04</t>
  </si>
  <si>
    <t>T.02.05</t>
  </si>
  <si>
    <t>T.02.06</t>
  </si>
  <si>
    <t>T.02.07</t>
  </si>
  <si>
    <t>T.02.08</t>
  </si>
  <si>
    <t>T.08.02</t>
  </si>
  <si>
    <t>T.08.03</t>
  </si>
  <si>
    <t>T.08.04</t>
  </si>
  <si>
    <t>T.08.05</t>
  </si>
  <si>
    <t>This SST-Template includes worksheets with different tab colors. The following color convention is used.</t>
  </si>
  <si>
    <t>Worksheets that are to be completed by the insurance company.</t>
  </si>
  <si>
    <t>Worksheets with information and parameters. As a rule these worksheets are not to be modified.</t>
  </si>
  <si>
    <t xml:space="preserve">Ce SST-Template contient des onglets avec différentes couleurs. La convention suivante s'applique: </t>
  </si>
  <si>
    <t>Onglets, que la société d'assurance doit compléter.</t>
  </si>
  <si>
    <t>Onglets avec informations et paramètres. En principe ces onglets ne doivent pas être modifiés.</t>
  </si>
  <si>
    <t>Input fields: In these cells insurance company specific information are to be entered.</t>
  </si>
  <si>
    <t>Champs de saisie: dans ces cellules les informations spécifiques à la société d'assurance doivent être entrées.</t>
  </si>
  <si>
    <t>T.01.10</t>
  </si>
  <si>
    <t>T.01.11</t>
  </si>
  <si>
    <t>T.01.12</t>
  </si>
  <si>
    <t>T.01.13</t>
  </si>
  <si>
    <t>T.01.14</t>
  </si>
  <si>
    <t>Tabellenblatt</t>
  </si>
  <si>
    <t>Template SST</t>
  </si>
  <si>
    <t>Version vom</t>
  </si>
  <si>
    <t>Mortgages</t>
  </si>
  <si>
    <t>SST-Bilanz</t>
  </si>
  <si>
    <t>Beteiligungen: Quote &gt; 50 %</t>
  </si>
  <si>
    <t>Beteiligungen: Quote 20 % bis 50 %</t>
  </si>
  <si>
    <t>Kollektive Kapitalanlagen</t>
  </si>
  <si>
    <t>Anlagefonds: Immobilien</t>
  </si>
  <si>
    <t>Anlagefonds: Aktien</t>
  </si>
  <si>
    <t>Anlagefonds: Obligationen</t>
  </si>
  <si>
    <t>Anlagefonds: Geldmarkt</t>
  </si>
  <si>
    <t>Anlagefonds: Übrige</t>
  </si>
  <si>
    <t>Anlagefonds: Gemischt</t>
  </si>
  <si>
    <t>Alternative Anlagen</t>
  </si>
  <si>
    <t>Strukturierte Produkte</t>
  </si>
  <si>
    <t>Sonstige Kapitalanlagen</t>
  </si>
  <si>
    <t>Fondsanteilgebundene Lebensversicherung</t>
  </si>
  <si>
    <t>An interne Anlagebestände oder andere Bezugswerte gebundene Lebensversicherung</t>
  </si>
  <si>
    <t>Übrige Aktiven</t>
  </si>
  <si>
    <t>Total übrige Aktiven</t>
  </si>
  <si>
    <t>Rückstellungen für vertragliche Überschussbeteiligungen (Leben): Brutto</t>
  </si>
  <si>
    <t>Rückstellungen für vertragliche Überschussbeteiligungen (Schaden): Brutto</t>
  </si>
  <si>
    <t>Rückstellungen für vertragliche Überschussbeteiligungen (Kranken): Brutto</t>
  </si>
  <si>
    <t>Staffelrechnung</t>
  </si>
  <si>
    <t>in % der Total Aktiven</t>
  </si>
  <si>
    <t>1)</t>
  </si>
  <si>
    <t>1.1 Kapitalanlagen</t>
  </si>
  <si>
    <t>1.1 Investments</t>
  </si>
  <si>
    <t>2)</t>
  </si>
  <si>
    <t>1.1.1 Immobilien</t>
  </si>
  <si>
    <t xml:space="preserve">1.1.1 Real estate </t>
  </si>
  <si>
    <t>3)</t>
  </si>
  <si>
    <t>Wohnimmobilien: Inland</t>
  </si>
  <si>
    <t>Residential properties: domestic</t>
  </si>
  <si>
    <t>4)</t>
  </si>
  <si>
    <t>Immeubles d'habitation: à l'étranger</t>
  </si>
  <si>
    <t>Residential properties: abroad</t>
  </si>
  <si>
    <t>5)</t>
  </si>
  <si>
    <t>6)</t>
  </si>
  <si>
    <t>7)</t>
  </si>
  <si>
    <t>Gemischtgenutzte Immobilien: Inland</t>
  </si>
  <si>
    <t>8)</t>
  </si>
  <si>
    <t>9)</t>
  </si>
  <si>
    <t>10)</t>
  </si>
  <si>
    <t>11)</t>
  </si>
  <si>
    <t>12)</t>
  </si>
  <si>
    <t>1.1.2 Beteiligungen</t>
  </si>
  <si>
    <t xml:space="preserve">1.1.2 Participations </t>
  </si>
  <si>
    <t>1.1.2 Participations</t>
  </si>
  <si>
    <t>13)</t>
  </si>
  <si>
    <t>Participations: part &gt; 50%</t>
  </si>
  <si>
    <t>14)</t>
  </si>
  <si>
    <t>Beteiligungen an Versicherungsgesellschaften</t>
  </si>
  <si>
    <t>Participations dans des sociétés d'assurance</t>
  </si>
  <si>
    <t>15)</t>
  </si>
  <si>
    <t>Übrige Beteiligungen</t>
  </si>
  <si>
    <t>Autres participations</t>
  </si>
  <si>
    <t>16)</t>
  </si>
  <si>
    <t>17)</t>
  </si>
  <si>
    <t>18)</t>
  </si>
  <si>
    <t>AA- und höher</t>
  </si>
  <si>
    <t>A- bis und mit A+</t>
  </si>
  <si>
    <t>BBB- bis und mit BBB+</t>
  </si>
  <si>
    <t>tiefer als BBB- und kein Rating</t>
  </si>
  <si>
    <t>19)</t>
  </si>
  <si>
    <t>1.1.3 Festverzinsliche Wertpapiere</t>
  </si>
  <si>
    <t>1.1.3 Titres à revenu fixe</t>
  </si>
  <si>
    <t>20)</t>
  </si>
  <si>
    <t>Staats- und Zentralbankenanleihen</t>
  </si>
  <si>
    <t>21)</t>
  </si>
  <si>
    <t>22)</t>
  </si>
  <si>
    <t>davon andere öffentliche Körperschaften</t>
  </si>
  <si>
    <t>dont autres corporations de droit public</t>
  </si>
  <si>
    <t xml:space="preserve">of which other public-sector entities </t>
  </si>
  <si>
    <t>23)</t>
  </si>
  <si>
    <t>Unternehmensanleihen</t>
  </si>
  <si>
    <t>Emprunts d'entreprises</t>
  </si>
  <si>
    <t>Corporate bonds</t>
  </si>
  <si>
    <t>24)</t>
  </si>
  <si>
    <t>davon Banken und Effektenhändler</t>
  </si>
  <si>
    <t>dont banques et négociants en valeurs mobilières</t>
  </si>
  <si>
    <t>of which banks and securities dealers</t>
  </si>
  <si>
    <t>25)</t>
  </si>
  <si>
    <t>Pfandbriefanleihen / Covered Bonds</t>
  </si>
  <si>
    <t>Alle anderen Anleihen (Pfandbriefanleihen, Wandelanleihen, sonstige Anleihen)</t>
  </si>
  <si>
    <t>Lettres de gage / Covered Bonds</t>
  </si>
  <si>
    <t>Mortgage bonds / Covered bonds</t>
  </si>
  <si>
    <t>26)</t>
  </si>
  <si>
    <t>Wandelanleihen</t>
  </si>
  <si>
    <t>Emprunts convertibles</t>
  </si>
  <si>
    <t>Convertible bonds</t>
  </si>
  <si>
    <t>27)</t>
  </si>
  <si>
    <t>Sonstige Anleihen (inkl. Optionsanleihen, supranationale Anleihen)</t>
  </si>
  <si>
    <t>Other bonds (incl. warrant bonds, supranational bonds)</t>
  </si>
  <si>
    <t>28)</t>
  </si>
  <si>
    <t>1.1.4 Darlehen</t>
  </si>
  <si>
    <t>1.1.4 Prêts</t>
  </si>
  <si>
    <t>1.1.4 Loans</t>
  </si>
  <si>
    <t>29)</t>
  </si>
  <si>
    <t>Nachrangige Darlehen</t>
  </si>
  <si>
    <t>Prêts subordonnés</t>
  </si>
  <si>
    <t>Subordinated loans</t>
  </si>
  <si>
    <t>30)</t>
  </si>
  <si>
    <t>Policendarlehen</t>
  </si>
  <si>
    <t>Prêts sur police</t>
  </si>
  <si>
    <t>31)</t>
  </si>
  <si>
    <t>Sonstige Darlehen</t>
  </si>
  <si>
    <t>Prêts divers</t>
  </si>
  <si>
    <t>Other loans</t>
  </si>
  <si>
    <t>32)</t>
  </si>
  <si>
    <t>1.1.5 Hypotheken</t>
  </si>
  <si>
    <t>1.1.5 Hypothèques</t>
  </si>
  <si>
    <t>1.1.5 Mortgages</t>
  </si>
  <si>
    <t>33)</t>
  </si>
  <si>
    <t>Hypotheken bis 80 % des Verkehrswertes</t>
  </si>
  <si>
    <t>Hypothèques jusqu'à 80 % de la valeur vénale</t>
  </si>
  <si>
    <t xml:space="preserve">Mortgages up to 80% of market value </t>
  </si>
  <si>
    <t>34)</t>
  </si>
  <si>
    <t>35)</t>
  </si>
  <si>
    <t>36)</t>
  </si>
  <si>
    <t>Hypotheken mehr als 80 % des Verkehrswertes</t>
  </si>
  <si>
    <t>Hypothèques au-delà de 80 % de la valeur vénale</t>
  </si>
  <si>
    <t xml:space="preserve">Mortgages over 80% of market value </t>
  </si>
  <si>
    <t>37)</t>
  </si>
  <si>
    <t>38)</t>
  </si>
  <si>
    <t>39)</t>
  </si>
  <si>
    <t>1.1.6 Aktien</t>
  </si>
  <si>
    <t>1.1.6 Actions</t>
  </si>
  <si>
    <t>40)</t>
  </si>
  <si>
    <t>Aktien und ähnliche Wertschriften</t>
  </si>
  <si>
    <t>Actions et titres similaires</t>
  </si>
  <si>
    <t>Equities and similar securities</t>
  </si>
  <si>
    <t>41)</t>
  </si>
  <si>
    <t>Anlagen an Immobiliengesellschaften</t>
  </si>
  <si>
    <t>Placements dans des sociétés immobilières</t>
  </si>
  <si>
    <t>Investments in real estate companies</t>
  </si>
  <si>
    <t>42)</t>
  </si>
  <si>
    <t>43)</t>
  </si>
  <si>
    <t>1.1.7 Übrige Kapitalanlagen</t>
  </si>
  <si>
    <t>1.1.7 Other investments</t>
  </si>
  <si>
    <t>44)</t>
  </si>
  <si>
    <t>45)</t>
  </si>
  <si>
    <t>Fonds de placement: biens immobiliers</t>
  </si>
  <si>
    <t>Investment funds: real estate</t>
  </si>
  <si>
    <t>46)</t>
  </si>
  <si>
    <t>Fonds de placement: actions</t>
  </si>
  <si>
    <t>Investment funds: equities</t>
  </si>
  <si>
    <t>47)</t>
  </si>
  <si>
    <t>Fonds de placement: obligations</t>
  </si>
  <si>
    <t>Investment funds: bonds</t>
  </si>
  <si>
    <t>48)</t>
  </si>
  <si>
    <t>Fonds de placement: marché monétaire</t>
  </si>
  <si>
    <t>Investment funds: money market</t>
  </si>
  <si>
    <t>49)</t>
  </si>
  <si>
    <t>Fonds de placement: autres</t>
  </si>
  <si>
    <t>Investment funds: other</t>
  </si>
  <si>
    <t>50)</t>
  </si>
  <si>
    <t>Fonds de placement: mixtes</t>
  </si>
  <si>
    <t>Investment funds: mixed</t>
  </si>
  <si>
    <t>51)</t>
  </si>
  <si>
    <t>Placements alternatifs</t>
  </si>
  <si>
    <t>Alternative investments</t>
  </si>
  <si>
    <t>52)</t>
  </si>
  <si>
    <t>53)</t>
  </si>
  <si>
    <t>54)</t>
  </si>
  <si>
    <t>davon Partizipationen (Anteil &lt; 20%)</t>
  </si>
  <si>
    <t>dont participations (part &lt; 20%)</t>
  </si>
  <si>
    <t>of which participations (holding &lt; 20%)</t>
  </si>
  <si>
    <t>55)</t>
  </si>
  <si>
    <t>Other alternative investments</t>
  </si>
  <si>
    <t>56)</t>
  </si>
  <si>
    <t>57)</t>
  </si>
  <si>
    <t>58)</t>
  </si>
  <si>
    <t>59)</t>
  </si>
  <si>
    <t>Produits structurés</t>
  </si>
  <si>
    <t>Structured products</t>
  </si>
  <si>
    <t>60)</t>
  </si>
  <si>
    <t>Insurance-Linked Securities (z.B. Cat Bonds)</t>
  </si>
  <si>
    <t>Insurance linked securities (e.g. cat bonds)</t>
  </si>
  <si>
    <t>61)</t>
  </si>
  <si>
    <t>62)</t>
  </si>
  <si>
    <t>Other investments</t>
  </si>
  <si>
    <t>63)</t>
  </si>
  <si>
    <t>Verbriefte Forderungen</t>
  </si>
  <si>
    <t>Créances titrisées</t>
  </si>
  <si>
    <t>Securitized claims</t>
  </si>
  <si>
    <t>64)</t>
  </si>
  <si>
    <t>65)</t>
  </si>
  <si>
    <t>66)</t>
  </si>
  <si>
    <t>67)</t>
  </si>
  <si>
    <t>Andere Kapitalanlagen (Infrastrukturanlagen, Currency Overlay, u.a.)</t>
  </si>
  <si>
    <t xml:space="preserve">Other investments (investments in infrastructure, currency overlay, i.a.) </t>
  </si>
  <si>
    <t>69)</t>
  </si>
  <si>
    <t>1.2 Kapitalanlagen aus anteilgebundener Lebensversicherung</t>
  </si>
  <si>
    <t>1.2 Placements provenant de l'assurance sur la vie liée à des participations</t>
  </si>
  <si>
    <t>70)</t>
  </si>
  <si>
    <t>Assurance sur la vie liée à des parts de fonds de placement</t>
  </si>
  <si>
    <t>Unit-linked life insurance</t>
  </si>
  <si>
    <t>71)</t>
  </si>
  <si>
    <t>Assurance sur la vie liée à des fonds cantonnés ou à d’autres valeurs de référence</t>
  </si>
  <si>
    <t>Life insurance linked to internal investment holdings or other reference values</t>
  </si>
  <si>
    <t>72)</t>
  </si>
  <si>
    <t>Biens immobiliers</t>
  </si>
  <si>
    <t>73)</t>
  </si>
  <si>
    <t>Festverzinsliche Wertpapiere, Darlehen</t>
  </si>
  <si>
    <t>Titres à revenu fixe, prêts</t>
  </si>
  <si>
    <t>Fixed income securities, loans</t>
  </si>
  <si>
    <t>74)</t>
  </si>
  <si>
    <t>75)</t>
  </si>
  <si>
    <t>76)</t>
  </si>
  <si>
    <t>77)</t>
  </si>
  <si>
    <t>Übrige Anlagen</t>
  </si>
  <si>
    <t>Autres placements</t>
  </si>
  <si>
    <t>78)</t>
  </si>
  <si>
    <t>1.3 Forderungen aus derivativen Finanzinstrumenten</t>
  </si>
  <si>
    <t>1.3 Créances sur instruments financiers dérivés</t>
  </si>
  <si>
    <t>1.3 Receivables from derivative financial instruments</t>
  </si>
  <si>
    <t>79)</t>
  </si>
  <si>
    <t>Zinsrisikobezogene Instrumente</t>
  </si>
  <si>
    <t>Instruments liés au risque de taux d'intérêt</t>
  </si>
  <si>
    <t>Interest-risk-related instruments</t>
  </si>
  <si>
    <t>80)</t>
  </si>
  <si>
    <t>Währungsrisikobezogene Instrumente</t>
  </si>
  <si>
    <t>Instruments liés au risque de change</t>
  </si>
  <si>
    <t>Currency-risk-related instruments</t>
  </si>
  <si>
    <t>81)</t>
  </si>
  <si>
    <t>(Aktien-)Marktrisikobezogene Instrumente</t>
  </si>
  <si>
    <t>Instruments liés au risque de marché / des actions</t>
  </si>
  <si>
    <t>(Equity) Market-risk-related instruments</t>
  </si>
  <si>
    <t>82)</t>
  </si>
  <si>
    <t>Kreditrisikobezogene Instrumente</t>
  </si>
  <si>
    <t>Instruments liés au risque de crédit</t>
  </si>
  <si>
    <t>Credit-risk-related instruments</t>
  </si>
  <si>
    <t>83)</t>
  </si>
  <si>
    <t>Versicherungsrisikobezogene Instrumente (z.B. Cat Derivate)</t>
  </si>
  <si>
    <t>Instruments liés au risque d'assurance (p. ex. Cat Derivate)</t>
  </si>
  <si>
    <t>Insurance-risk-related instruments (e.g. cat derivative)</t>
  </si>
  <si>
    <t>84)</t>
  </si>
  <si>
    <t>85)</t>
  </si>
  <si>
    <t>Total Kapitalanlagen</t>
  </si>
  <si>
    <t>Total des placements de capitaux</t>
  </si>
  <si>
    <t>Total investments</t>
  </si>
  <si>
    <t>86)</t>
  </si>
  <si>
    <t>Autres actifs</t>
  </si>
  <si>
    <t>Other assets</t>
  </si>
  <si>
    <t>87)</t>
  </si>
  <si>
    <t>1.4 Depotforderungen aus übernommener Rückversicherung</t>
  </si>
  <si>
    <t>1.4 Dépôts découlant de la réassurance acceptée</t>
  </si>
  <si>
    <t xml:space="preserve">1.4 Deposits made under assumed reinsurance contracts </t>
  </si>
  <si>
    <t>88)</t>
  </si>
  <si>
    <t>1.5 Flüssige Mittel</t>
  </si>
  <si>
    <t>1.5 Liquidités</t>
  </si>
  <si>
    <t>1.5 Cash and cash equivalents</t>
  </si>
  <si>
    <t>89)</t>
  </si>
  <si>
    <t>Bargeld</t>
  </si>
  <si>
    <t>Numéraire</t>
  </si>
  <si>
    <t>Cash</t>
  </si>
  <si>
    <t>90)</t>
  </si>
  <si>
    <t>Bankguthaben</t>
  </si>
  <si>
    <t xml:space="preserve">Avoirs sur comptes bancaires </t>
  </si>
  <si>
    <t>Bank credit balance</t>
  </si>
  <si>
    <t>91)</t>
  </si>
  <si>
    <t>Forderungen aus Geldmarktanlagen</t>
  </si>
  <si>
    <t>Créances sur le marché monétaire</t>
  </si>
  <si>
    <t>Receivables from money market investments</t>
  </si>
  <si>
    <t>92)</t>
  </si>
  <si>
    <t>1.6 Anteil versicherungstechnische Rückstellungen aus Rückversicherung</t>
  </si>
  <si>
    <t>1.6 Part des réassureurs dans les provisions techniques</t>
  </si>
  <si>
    <t>1.6 Share of technical provisions from reinsurance</t>
  </si>
  <si>
    <t>93)</t>
  </si>
  <si>
    <t>94)</t>
  </si>
  <si>
    <t>davon Anteil Rückversicherer (Leben) am Überschussfonds</t>
  </si>
  <si>
    <t>dont part des réassureurs (vie) dans le fonds d'excédents</t>
  </si>
  <si>
    <t>of which share of reinsurers (life) to the surplus funds</t>
  </si>
  <si>
    <t>95)</t>
  </si>
  <si>
    <t>96)</t>
  </si>
  <si>
    <t>97)</t>
  </si>
  <si>
    <t>98)</t>
  </si>
  <si>
    <t>davon Anteil Rückversicherer (Kranken) am Überschussfonds</t>
  </si>
  <si>
    <t>dont part des réassureurs (maladie) dans le fonds d'excédents</t>
  </si>
  <si>
    <t>of which share of reinsurers (health) to the surplus funds</t>
  </si>
  <si>
    <t>99)</t>
  </si>
  <si>
    <t>100)</t>
  </si>
  <si>
    <t>101)</t>
  </si>
  <si>
    <t>102)</t>
  </si>
  <si>
    <t>105)</t>
  </si>
  <si>
    <t>106)</t>
  </si>
  <si>
    <t>1.7 Sachanlagen</t>
  </si>
  <si>
    <t>1.7 Immobilisations corporelles</t>
  </si>
  <si>
    <t>107)</t>
  </si>
  <si>
    <t>Betriebsliegenschaften</t>
  </si>
  <si>
    <t>Immeubles d'exploitation</t>
  </si>
  <si>
    <t>Commercial real estate</t>
  </si>
  <si>
    <t>108)</t>
  </si>
  <si>
    <t>Sonstige Sachanlagen</t>
  </si>
  <si>
    <t>Autres immobilisations corporelles</t>
  </si>
  <si>
    <t>109)</t>
  </si>
  <si>
    <t>1.8 Aktivierte Abschlusskosten</t>
  </si>
  <si>
    <t>1.8 Frais d'acquisition activés</t>
  </si>
  <si>
    <t>1.8 Deferred acquisition costs</t>
  </si>
  <si>
    <t>110)</t>
  </si>
  <si>
    <t>1.9 Immaterielle Vermögenswerte</t>
  </si>
  <si>
    <t>1.9 Intangible assets</t>
  </si>
  <si>
    <t>111)</t>
  </si>
  <si>
    <t>1.10 Forderungen aus dem Versicherungsgeschäft</t>
  </si>
  <si>
    <t>1.10 Créances nées d'opérations d'assurance</t>
  </si>
  <si>
    <t>112)</t>
  </si>
  <si>
    <t>113)</t>
  </si>
  <si>
    <t>114)</t>
  </si>
  <si>
    <t>115)</t>
  </si>
  <si>
    <t>116)</t>
  </si>
  <si>
    <t>117)</t>
  </si>
  <si>
    <t>118)</t>
  </si>
  <si>
    <t>1.11 Übrige Forderungen</t>
  </si>
  <si>
    <t>1.11 Autres créances</t>
  </si>
  <si>
    <t>1.11 Other receivables</t>
  </si>
  <si>
    <t>1.12 Sonstige Aktiven</t>
  </si>
  <si>
    <t>1.12 Autres actifs</t>
  </si>
  <si>
    <t>1.12 Other assets</t>
  </si>
  <si>
    <t>120)</t>
  </si>
  <si>
    <t>Erhaltene Garantien</t>
  </si>
  <si>
    <t>Garanties reçues</t>
  </si>
  <si>
    <t>Guarantees received</t>
  </si>
  <si>
    <t>121)</t>
  </si>
  <si>
    <t>Sonstige Vermögenswerte</t>
  </si>
  <si>
    <t>122)</t>
  </si>
  <si>
    <t>1.13 Nicht einbezahltes Grundkapital</t>
  </si>
  <si>
    <t>1.13 Capital non encore libéré</t>
  </si>
  <si>
    <t>1.13 Unpaid share capital</t>
  </si>
  <si>
    <t>123)</t>
  </si>
  <si>
    <t>1.14 Aktive Rechnungsabgrenzungen</t>
  </si>
  <si>
    <t>1.14 Comptes de régularisation</t>
  </si>
  <si>
    <t>124)</t>
  </si>
  <si>
    <t>Vorausbezahlte Versicherungsleistungen</t>
  </si>
  <si>
    <t>Prestations d'assurance versées à l'avance</t>
  </si>
  <si>
    <t>Pre-paid insurance benefits</t>
  </si>
  <si>
    <t>125)</t>
  </si>
  <si>
    <t>Abgegrenzte Zinsen und Mieten</t>
  </si>
  <si>
    <t>Intérêts et loyers acquis non échus</t>
  </si>
  <si>
    <t>Accrued interest and rent</t>
  </si>
  <si>
    <t>126)</t>
  </si>
  <si>
    <t>Latente Steuerforderungen</t>
  </si>
  <si>
    <t>Actifs d'impôts différés</t>
  </si>
  <si>
    <t>Deferred tax assets</t>
  </si>
  <si>
    <t>127)</t>
  </si>
  <si>
    <t>Sonstige Rechnungsabgrenzungsposten</t>
  </si>
  <si>
    <t>Autres comptes de régularisation</t>
  </si>
  <si>
    <t>Other accrued expenses and deferred income</t>
  </si>
  <si>
    <t>128)</t>
  </si>
  <si>
    <t>129)</t>
  </si>
  <si>
    <t>1.15 Total Aktiven</t>
  </si>
  <si>
    <t>1.15 Total Assets</t>
  </si>
  <si>
    <t>130)</t>
  </si>
  <si>
    <t>Fremdkapital</t>
  </si>
  <si>
    <t>Capital étranger</t>
  </si>
  <si>
    <t>131)</t>
  </si>
  <si>
    <t>132)</t>
  </si>
  <si>
    <t>133)</t>
  </si>
  <si>
    <t>134)</t>
  </si>
  <si>
    <t>135)</t>
  </si>
  <si>
    <t>136)</t>
  </si>
  <si>
    <t>137)</t>
  </si>
  <si>
    <t>138)</t>
  </si>
  <si>
    <t>davon Zillmerabschlag (Leben): Brutto</t>
  </si>
  <si>
    <t>dont déduction de Zillmer (vie): brute</t>
  </si>
  <si>
    <t>of which Zillmer discount (life): gross</t>
  </si>
  <si>
    <t>139)</t>
  </si>
  <si>
    <t>Provisions pour parts d'excédents contractuels (vie): brutes</t>
  </si>
  <si>
    <t>Reserves for contractual profit participation (life): gross</t>
  </si>
  <si>
    <t>140)</t>
  </si>
  <si>
    <t>Rückstellungen für Überschussfonds (Leben): Brutto</t>
  </si>
  <si>
    <t>Provisions pour fonds d'excédents (vie): brutes</t>
  </si>
  <si>
    <t>Reserves for surplus funds (life): gross</t>
  </si>
  <si>
    <t>141)</t>
  </si>
  <si>
    <t>142)</t>
  </si>
  <si>
    <t>143)</t>
  </si>
  <si>
    <t>of which best estimate of insurance liabilities of the UVG portfolio</t>
  </si>
  <si>
    <t>144)</t>
  </si>
  <si>
    <t>145)</t>
  </si>
  <si>
    <t>146)</t>
  </si>
  <si>
    <t>Reserves for contractual profit participation (non-life): gross</t>
  </si>
  <si>
    <t>Rückstellungen für Überschussfonds (Schaden): Brutto</t>
  </si>
  <si>
    <t>Reserves for surplus funds (non-life): gross</t>
  </si>
  <si>
    <t>148)</t>
  </si>
  <si>
    <t>149)</t>
  </si>
  <si>
    <t>150)</t>
  </si>
  <si>
    <t>151)</t>
  </si>
  <si>
    <t>152)</t>
  </si>
  <si>
    <t>153)</t>
  </si>
  <si>
    <t>Provisions pour parts d'excédents contractuels (maladie): brutes</t>
  </si>
  <si>
    <t>Reserves for contractual profit participation (health): gross</t>
  </si>
  <si>
    <t>154)</t>
  </si>
  <si>
    <t>Rückstellungen für Überschussfonds (Kranken): Brutto</t>
  </si>
  <si>
    <t>Provisions pour fonds d'excédents (maladie): brutes</t>
  </si>
  <si>
    <t>Reserves for surplus funds (health): gross</t>
  </si>
  <si>
    <t>155)</t>
  </si>
  <si>
    <t>156)</t>
  </si>
  <si>
    <t>157)</t>
  </si>
  <si>
    <t>Aktive Rückversicherung: Lebensversicherungsgeschäft (ohne ALV)</t>
  </si>
  <si>
    <t>Aktive Rückversicherung: Schadenversicherungsgeschäft</t>
  </si>
  <si>
    <t>Réassurance active: assurance dommages</t>
  </si>
  <si>
    <t>159)</t>
  </si>
  <si>
    <t>Aktive Rückversicherung: Krankenversicherungsgeschäft</t>
  </si>
  <si>
    <t>Réassurance active: assurance maladie</t>
  </si>
  <si>
    <t>160)</t>
  </si>
  <si>
    <t>Fondsanteilgebundene Lebensversicherung (A 2.1 - A 2.3 &amp; A 6.1)</t>
  </si>
  <si>
    <t>Assurance de vie liée à des fonds de placement (A 2.1 - A 2.3 et A 6.1)</t>
  </si>
  <si>
    <t>Unit-linked life insurance (A 2.1 - A 2.3 et A 6.1)</t>
  </si>
  <si>
    <t>163)</t>
  </si>
  <si>
    <t>davon Optionen und Garantien</t>
  </si>
  <si>
    <t>dont options et garanties</t>
  </si>
  <si>
    <t>of which options and guarantees</t>
  </si>
  <si>
    <t>164)</t>
  </si>
  <si>
    <t>An interne Anlagebestände oder andere Bezugswerte gebundene Lebensversicherung: Brutto (A 2.4 - A 2.6 &amp; A 6.2)</t>
  </si>
  <si>
    <t>Assurance de vie liée à des fonds cantonnés ou à d'autres valeurs de référence: brutes (A 2.4 - A 2.6 &amp; A 6.2)</t>
  </si>
  <si>
    <t>Life insurance linked to internal investment positions and other reference values (A 2.4 - A 2.6 &amp; A 6.2)</t>
  </si>
  <si>
    <t>165)</t>
  </si>
  <si>
    <t>166)</t>
  </si>
  <si>
    <t>Aktive Rückversicherung: Anteilgebundenes Lebensversicherungsgeschäft</t>
  </si>
  <si>
    <t>167)</t>
  </si>
  <si>
    <t>2.3 Nichtversicherungstechnische Rückstellungen</t>
  </si>
  <si>
    <t>2.3 Provisions non techniques</t>
  </si>
  <si>
    <t>2.3 Non-technical provisions</t>
  </si>
  <si>
    <t>168)</t>
  </si>
  <si>
    <t>Rückstellungen für Personalvorsorge</t>
  </si>
  <si>
    <t>Provisions pour la prévoyance en faveur du personnel</t>
  </si>
  <si>
    <t>Reserves for employee benefits</t>
  </si>
  <si>
    <t>169)</t>
  </si>
  <si>
    <t xml:space="preserve">Finanzielle Rückstellungen </t>
  </si>
  <si>
    <t>Provisions financières</t>
  </si>
  <si>
    <t>Financial provisions</t>
  </si>
  <si>
    <t>170)</t>
  </si>
  <si>
    <t xml:space="preserve">Sonstige Rückstellungen </t>
  </si>
  <si>
    <t>Autres provisions</t>
  </si>
  <si>
    <t>Other provisions</t>
  </si>
  <si>
    <t>171)</t>
  </si>
  <si>
    <t>2.4 Verzinsliche Verbindlichkeiten</t>
  </si>
  <si>
    <t>2.4 Dettes liées à des instruments de taux</t>
  </si>
  <si>
    <t>2.4 Interest-bearing liabilities</t>
  </si>
  <si>
    <t>172)</t>
  </si>
  <si>
    <t>2.5. Verbindlichkeiten aus derivativen Finanzinstrumenten</t>
  </si>
  <si>
    <t>2.5 Liabilities from derivative financial instruments</t>
  </si>
  <si>
    <t>173)</t>
  </si>
  <si>
    <t>174)</t>
  </si>
  <si>
    <t>175)</t>
  </si>
  <si>
    <t>176)</t>
  </si>
  <si>
    <t>177)</t>
  </si>
  <si>
    <t>Versicherungsbezogene Instrumente (z.B. Cat Derivate)</t>
  </si>
  <si>
    <t>Insurance-risk-related instruments  (e.g. cat derivative)</t>
  </si>
  <si>
    <t>178)</t>
  </si>
  <si>
    <t>179)</t>
  </si>
  <si>
    <t>2.6 Depotverbindlichkeiten aus abgegebener Rückversicherung</t>
  </si>
  <si>
    <t>2.6 Dépôts résultant de la réassurance cédée</t>
  </si>
  <si>
    <t>180)</t>
  </si>
  <si>
    <t>2.7 Verbindlichkeiten aus dem Versicherungsgeschäft</t>
  </si>
  <si>
    <t>2.7 Dettes nées d'opérations d'assurance</t>
  </si>
  <si>
    <t>2.7 Liabilities from insurance business</t>
  </si>
  <si>
    <t>181)</t>
  </si>
  <si>
    <t>182)</t>
  </si>
  <si>
    <t>Sonstige Depotverbindlichkeiten</t>
  </si>
  <si>
    <t>Autres dépôts reçus de réassureurs</t>
  </si>
  <si>
    <t>Other deposit liabilities</t>
  </si>
  <si>
    <t>183)</t>
  </si>
  <si>
    <t>Sonstige Verbindlichkeiten aus dem Versicherungsgeschäft</t>
  </si>
  <si>
    <t>Autres dettes nées d'opérations d'assurance</t>
  </si>
  <si>
    <t>Other liabilities from insurance business</t>
  </si>
  <si>
    <t>184)</t>
  </si>
  <si>
    <t>2.8 Sonstige Passiven</t>
  </si>
  <si>
    <t>2.8 Autres passifs</t>
  </si>
  <si>
    <t>2.8 Other liabilities</t>
  </si>
  <si>
    <t>185)</t>
  </si>
  <si>
    <t>Gegebene Garantien, Bürgschaften</t>
  </si>
  <si>
    <t>Garanties données, cautionnements</t>
  </si>
  <si>
    <t>Guarantees given, sureties</t>
  </si>
  <si>
    <t>186)</t>
  </si>
  <si>
    <t>Sonstige Verbindlichkeiten</t>
  </si>
  <si>
    <t>Dettes diverses</t>
  </si>
  <si>
    <t>Other liabilities</t>
  </si>
  <si>
    <t>187)</t>
  </si>
  <si>
    <t>188)</t>
  </si>
  <si>
    <t xml:space="preserve">Autres postes du compte de régularisation </t>
  </si>
  <si>
    <t>189)</t>
  </si>
  <si>
    <t>2.10 Nachrangige Verbindlichkeiten</t>
  </si>
  <si>
    <t>2.10 Dettes subordonnées</t>
  </si>
  <si>
    <t>190)</t>
  </si>
  <si>
    <t>191)</t>
  </si>
  <si>
    <t>192)</t>
  </si>
  <si>
    <t>193)</t>
  </si>
  <si>
    <t>194)</t>
  </si>
  <si>
    <t>195)</t>
  </si>
  <si>
    <t>Total liabilities</t>
  </si>
  <si>
    <t>196)</t>
  </si>
  <si>
    <t>Differenz</t>
  </si>
  <si>
    <t>Différence</t>
  </si>
  <si>
    <t>Difference</t>
  </si>
  <si>
    <t>Es gibt zwei mögliche Varianten von Umlegungen:</t>
  </si>
  <si>
    <r>
      <t xml:space="preserve">Beispiel für </t>
    </r>
    <r>
      <rPr>
        <b/>
        <sz val="11"/>
        <rFont val="Arial"/>
        <family val="2"/>
      </rPr>
      <t>Variante 1</t>
    </r>
    <r>
      <rPr>
        <sz val="11"/>
        <rFont val="Arial"/>
        <family val="2"/>
      </rPr>
      <t xml:space="preserve">: Umlegung einer Bilanzposition auf </t>
    </r>
    <r>
      <rPr>
        <u/>
        <sz val="11"/>
        <rFont val="Arial"/>
        <family val="2"/>
      </rPr>
      <t>eine</t>
    </r>
    <r>
      <rPr>
        <sz val="11"/>
        <rFont val="Arial"/>
        <family val="2"/>
      </rPr>
      <t xml:space="preserve"> andere Bilanzposition (automatisiert und daher gegenüber Variante 2 zu bevorzugen)</t>
    </r>
  </si>
  <si>
    <t>"Ein Teil der aktivierten Abschlusskosten soll ins Deckungskapital übernommen werden."</t>
  </si>
  <si>
    <t>G</t>
  </si>
  <si>
    <t>H</t>
  </si>
  <si>
    <t>Versicherungsverpflichtungen (brutto)</t>
  </si>
  <si>
    <r>
      <t xml:space="preserve">Beispiel für </t>
    </r>
    <r>
      <rPr>
        <b/>
        <sz val="11"/>
        <rFont val="Arial"/>
        <family val="2"/>
      </rPr>
      <t>Variante 2</t>
    </r>
    <r>
      <rPr>
        <sz val="11"/>
        <rFont val="Arial"/>
        <family val="2"/>
      </rPr>
      <t xml:space="preserve">: Umlegung einer Bilanzposition auf </t>
    </r>
    <r>
      <rPr>
        <u/>
        <sz val="11"/>
        <rFont val="Arial"/>
        <family val="2"/>
      </rPr>
      <t>mehrere</t>
    </r>
    <r>
      <rPr>
        <sz val="11"/>
        <rFont val="Arial"/>
        <family val="2"/>
      </rPr>
      <t xml:space="preserve"> andere Bilanzpositionen (nur für komplexe Umlegungen!)</t>
    </r>
  </si>
  <si>
    <t>I</t>
  </si>
  <si>
    <t>J</t>
  </si>
  <si>
    <t>K</t>
  </si>
  <si>
    <t>Kapitalanlagen für Rechnung und Risiko von Inhabern von Lebensversicherungen (ohne «Separate Accounts»)</t>
  </si>
  <si>
    <t>Spalte B</t>
  </si>
  <si>
    <t>Referenzierung der Zellen mittels Zeilennummer.</t>
  </si>
  <si>
    <t>Spalte C</t>
  </si>
  <si>
    <t>Berücksichtigung des Vorzeichens: + für Aktiven und - für Passiven</t>
  </si>
  <si>
    <t>Spalte H</t>
  </si>
  <si>
    <t>Verwendete Farben</t>
  </si>
  <si>
    <t>grün</t>
  </si>
  <si>
    <t>Richtige Referenzierung</t>
  </si>
  <si>
    <t>gelb</t>
  </si>
  <si>
    <t>Fehlende Referenzierung</t>
  </si>
  <si>
    <t>blau</t>
  </si>
  <si>
    <t>Wert angegeben</t>
  </si>
  <si>
    <t>REF</t>
  </si>
  <si>
    <t>Vorzeichen</t>
  </si>
  <si>
    <t>T.01.15</t>
  </si>
  <si>
    <t>Seed Nummer</t>
  </si>
  <si>
    <t>Seed Number</t>
  </si>
  <si>
    <t>Seed number</t>
  </si>
  <si>
    <t>Bilan SST</t>
  </si>
  <si>
    <t>SST Balance sheet</t>
  </si>
  <si>
    <t>T.01.16</t>
  </si>
  <si>
    <t>Sparte</t>
  </si>
  <si>
    <t>Branche</t>
  </si>
  <si>
    <t>T.08.06</t>
  </si>
  <si>
    <t>Total other assets</t>
  </si>
  <si>
    <t>Equated account</t>
  </si>
  <si>
    <t>Calcul échelonné</t>
  </si>
  <si>
    <t>in % of total assets</t>
  </si>
  <si>
    <t>Participations: part 20% à 50%</t>
  </si>
  <si>
    <t>All other investments (mortgage bonds, convertible bonds, other bonds)</t>
  </si>
  <si>
    <t>Tous les autres placements (lettres de gage, emprunts convertibles, autres placements)</t>
  </si>
  <si>
    <t>Rück</t>
  </si>
  <si>
    <t>Réassurance</t>
  </si>
  <si>
    <t>Reinsurance</t>
  </si>
  <si>
    <t>T.01.17</t>
  </si>
  <si>
    <t>T.01.18</t>
  </si>
  <si>
    <t>T.01.19</t>
  </si>
  <si>
    <t>Signe</t>
  </si>
  <si>
    <t>Sign</t>
  </si>
  <si>
    <t xml:space="preserve">Statutarischer Bilanzwert nach Allokation </t>
  </si>
  <si>
    <t>Allokation REF (Hier Zeilenref angeben, auf die alloziert werden soll.)</t>
  </si>
  <si>
    <t>Valeur statutaire après allocation</t>
  </si>
  <si>
    <t>Allocation REF (indiquer la ligne de référence)</t>
  </si>
  <si>
    <t>Allocation REF (indicate the reference line)</t>
  </si>
  <si>
    <t>Statutory value after allocation</t>
  </si>
  <si>
    <t xml:space="preserve">Statutarischer Wert  </t>
  </si>
  <si>
    <t xml:space="preserve">Valeur statutaire  </t>
  </si>
  <si>
    <t xml:space="preserve">Statutory value  </t>
  </si>
  <si>
    <t>Short cut</t>
  </si>
  <si>
    <t>T.02.09</t>
  </si>
  <si>
    <t>Abkürzung</t>
  </si>
  <si>
    <t>Abbréviation</t>
  </si>
  <si>
    <t>Mindestbetrag</t>
  </si>
  <si>
    <t>Hedgefonds</t>
  </si>
  <si>
    <t>Real estate</t>
  </si>
  <si>
    <t>Glossar Deutsch - Französisch - Englisch</t>
  </si>
  <si>
    <t>Glossaire allemand - français - anglais</t>
  </si>
  <si>
    <t>Glossary German - French - English</t>
  </si>
  <si>
    <t>Best Estimate der Versicherungsverpflichtungen (Leben): Brutto</t>
  </si>
  <si>
    <t>davon Best Estimate der Verpflichtungen des UVG-Bestandes: Brutto</t>
  </si>
  <si>
    <t>T.05.01</t>
  </si>
  <si>
    <t>T.05.02</t>
  </si>
  <si>
    <t>T.05.03</t>
  </si>
  <si>
    <t>T.05.04</t>
  </si>
  <si>
    <t>T.05.05</t>
  </si>
  <si>
    <t>T.05.06</t>
  </si>
  <si>
    <t>T.05.07</t>
  </si>
  <si>
    <t>T.05.08</t>
  </si>
  <si>
    <t>T.05.09</t>
  </si>
  <si>
    <t>T.05.10</t>
  </si>
  <si>
    <t>T.05.11</t>
  </si>
  <si>
    <t>T.05.12</t>
  </si>
  <si>
    <t>T.05.13</t>
  </si>
  <si>
    <t>T.05.14</t>
  </si>
  <si>
    <t>T.05.15</t>
  </si>
  <si>
    <t>T.05.16</t>
  </si>
  <si>
    <t>T.06.01</t>
  </si>
  <si>
    <t>T.06.02</t>
  </si>
  <si>
    <t>T.06.03</t>
  </si>
  <si>
    <t>T.06.04</t>
  </si>
  <si>
    <t>T.06.05</t>
  </si>
  <si>
    <t>T.06.06</t>
  </si>
  <si>
    <t>T.06.07</t>
  </si>
  <si>
    <t>T.06.08</t>
  </si>
  <si>
    <t>T.06.09</t>
  </si>
  <si>
    <t>T.06.10</t>
  </si>
  <si>
    <t>T.06.11</t>
  </si>
  <si>
    <t>T.06.12</t>
  </si>
  <si>
    <t>T.06.13</t>
  </si>
  <si>
    <t>T.06.14</t>
  </si>
  <si>
    <t>T.06.15</t>
  </si>
  <si>
    <t>T.06.16</t>
  </si>
  <si>
    <t>T.06.17</t>
  </si>
  <si>
    <t>T.06.18</t>
  </si>
  <si>
    <t>T.06.19</t>
  </si>
  <si>
    <t>T.06.20</t>
  </si>
  <si>
    <t>T.06.21</t>
  </si>
  <si>
    <t>T.06.22</t>
  </si>
  <si>
    <t>T.06.23</t>
  </si>
  <si>
    <t>T.06.24</t>
  </si>
  <si>
    <t>T.06.25</t>
  </si>
  <si>
    <t>T.06.26</t>
  </si>
  <si>
    <t>T.06.27</t>
  </si>
  <si>
    <t>T.06.28</t>
  </si>
  <si>
    <t>T.06.29</t>
  </si>
  <si>
    <t>MVM Maladie</t>
  </si>
  <si>
    <t>MVM Kranken</t>
  </si>
  <si>
    <t>T.08.07</t>
  </si>
  <si>
    <t>T.08.08</t>
  </si>
  <si>
    <t>T.08.09</t>
  </si>
  <si>
    <t>MVM Health</t>
  </si>
  <si>
    <t>T.07.01</t>
  </si>
  <si>
    <t>T.07.02</t>
  </si>
  <si>
    <t>T.07.03</t>
  </si>
  <si>
    <t>T.07.04</t>
  </si>
  <si>
    <t>T.07.05</t>
  </si>
  <si>
    <t>T.07.06</t>
  </si>
  <si>
    <t>T.07.07</t>
  </si>
  <si>
    <t>T.07.08</t>
  </si>
  <si>
    <t>T.07.09</t>
  </si>
  <si>
    <t>T.07.10</t>
  </si>
  <si>
    <t>T.07.11</t>
  </si>
  <si>
    <t>T.07.12</t>
  </si>
  <si>
    <t>Best Estimate der sonstigen Versicherungsverpflichtungen (Leben): Brutto</t>
  </si>
  <si>
    <t>Best estimate of other insurance liabilities (life): gross</t>
  </si>
  <si>
    <t>Best Estimate der sonstigen Versicherungsverpflichtungen (Schaden): Brutto</t>
  </si>
  <si>
    <t>Best estimate of other insurance liabilities (non-life): gross</t>
  </si>
  <si>
    <t>Best Estimate der sonstigen Versicherungsverpflichtungen (Kranken): Brutto</t>
  </si>
  <si>
    <t>Best estimate of other insurance liabilities (health): gross</t>
  </si>
  <si>
    <t>Marktwert festverzinsliche Kapitalanlagen</t>
  </si>
  <si>
    <t>Duration festverzinsliche Kapitalanlagen [Jahre]</t>
  </si>
  <si>
    <t>Duration versicherungstechnische Verpflichtungen [Jahre]</t>
  </si>
  <si>
    <t>T.07.13</t>
  </si>
  <si>
    <t>T.07.14</t>
  </si>
  <si>
    <t>T.07.15</t>
  </si>
  <si>
    <t>Valeur de marché des titres à revenu fixe</t>
  </si>
  <si>
    <t>Market value fixed income securities</t>
  </si>
  <si>
    <t>Duration of insurance liabilities [years]</t>
  </si>
  <si>
    <t>Duration of fixed income securities [years]</t>
  </si>
  <si>
    <t>Duration des titres à revenu fixe [ans]</t>
  </si>
  <si>
    <t>Duration des engagements actuariels [ans]</t>
  </si>
  <si>
    <t>Zusätzliche Effekte auf das Zielkapital</t>
  </si>
  <si>
    <t>Additional effects on the target capital</t>
  </si>
  <si>
    <t>T.31.01</t>
  </si>
  <si>
    <t>Montant minimum</t>
  </si>
  <si>
    <t>T.07.16</t>
  </si>
  <si>
    <t>T.07.17</t>
  </si>
  <si>
    <t>T.07.18</t>
  </si>
  <si>
    <t>T.07.19</t>
  </si>
  <si>
    <t>T.07.20</t>
  </si>
  <si>
    <t>T.07.21</t>
  </si>
  <si>
    <t>ÜBR</t>
  </si>
  <si>
    <t>Best estimate of insurance liabilities (life): gross</t>
  </si>
  <si>
    <t>Effets supplémentaires sur le capital cible</t>
  </si>
  <si>
    <t>Version française</t>
  </si>
  <si>
    <t>English version</t>
  </si>
  <si>
    <t>English Version</t>
  </si>
  <si>
    <t>There are two types of allocation:</t>
  </si>
  <si>
    <r>
      <rPr>
        <sz val="11"/>
        <color theme="1"/>
        <rFont val="Arial"/>
        <family val="2"/>
      </rPr>
      <t xml:space="preserve">Example of </t>
    </r>
    <r>
      <rPr>
        <b/>
        <sz val="11"/>
        <color rgb="FF000000"/>
        <rFont val="Arial"/>
        <family val="2"/>
      </rPr>
      <t>Variation 1</t>
    </r>
    <r>
      <rPr>
        <sz val="11"/>
        <color rgb="FF000000"/>
        <rFont val="Arial"/>
        <family val="2"/>
      </rPr>
      <t>:</t>
    </r>
    <r>
      <rPr>
        <sz val="11"/>
        <color rgb="FF000000"/>
        <rFont val="Arial"/>
        <family val="2"/>
      </rPr>
      <t xml:space="preserve"> </t>
    </r>
    <r>
      <rPr>
        <sz val="11"/>
        <color rgb="FF000000"/>
        <rFont val="Arial"/>
        <family val="2"/>
      </rPr>
      <t xml:space="preserve">Allocation of one balance sheet item to </t>
    </r>
    <r>
      <rPr>
        <u/>
        <sz val="11"/>
        <color rgb="FF000000"/>
        <rFont val="Arial"/>
        <family val="2"/>
      </rPr>
      <t>one</t>
    </r>
    <r>
      <rPr>
        <sz val="11"/>
        <color rgb="FF000000"/>
        <rFont val="Arial"/>
        <family val="2"/>
      </rPr>
      <t xml:space="preserve"> other balance sheet item (automated and therefore to be preferred over Variation 2)</t>
    </r>
  </si>
  <si>
    <t>"A part of the deferred acquisition costs is to be transferred to the actuarial reserve."</t>
  </si>
  <si>
    <r>
      <rPr>
        <sz val="11"/>
        <color theme="1"/>
        <rFont val="Arial"/>
        <family val="2"/>
      </rPr>
      <t xml:space="preserve">Example of </t>
    </r>
    <r>
      <rPr>
        <b/>
        <sz val="11"/>
        <color rgb="FF000000"/>
        <rFont val="Arial"/>
        <family val="2"/>
      </rPr>
      <t>Variation 2</t>
    </r>
    <r>
      <rPr>
        <sz val="11"/>
        <color rgb="FF000000"/>
        <rFont val="Arial"/>
        <family val="2"/>
      </rPr>
      <t>:</t>
    </r>
    <r>
      <rPr>
        <sz val="11"/>
        <color rgb="FF000000"/>
        <rFont val="Arial"/>
        <family val="2"/>
      </rPr>
      <t xml:space="preserve"> </t>
    </r>
    <r>
      <rPr>
        <sz val="11"/>
        <color rgb="FF000000"/>
        <rFont val="Arial"/>
        <family val="2"/>
      </rPr>
      <t xml:space="preserve">Allocation of one balance sheet item to </t>
    </r>
    <r>
      <rPr>
        <u/>
        <sz val="11"/>
        <color rgb="FF000000"/>
        <rFont val="Arial"/>
        <family val="2"/>
      </rPr>
      <t>several</t>
    </r>
    <r>
      <rPr>
        <sz val="11"/>
        <color rgb="FF000000"/>
        <rFont val="Arial"/>
        <family val="2"/>
      </rPr>
      <t xml:space="preserve"> other balance sheet items (only for complex allocations!)</t>
    </r>
  </si>
  <si>
    <t>Investments for the account and risk of life insurance policyholders (excluding Separate Accounts)</t>
  </si>
  <si>
    <t>Column B</t>
  </si>
  <si>
    <t>Referencing of cells by means of row number.</t>
  </si>
  <si>
    <t>Column C</t>
  </si>
  <si>
    <t>Inclusion of the prefix: + for assets and - for liabilities</t>
  </si>
  <si>
    <t>Column H</t>
  </si>
  <si>
    <t>Colours used</t>
  </si>
  <si>
    <t>Green</t>
  </si>
  <si>
    <t>Correct referencing</t>
  </si>
  <si>
    <t>Yellow</t>
  </si>
  <si>
    <t>Missing referencing</t>
  </si>
  <si>
    <t>Blue</t>
  </si>
  <si>
    <t>Value indicated</t>
  </si>
  <si>
    <t>davon Schweizer Kantone und Gemeinden</t>
  </si>
  <si>
    <t>dont cantons et communes en Suisse</t>
  </si>
  <si>
    <t>of which Swiss cantons and municipalities</t>
  </si>
  <si>
    <t>Übrige derivative Instrumente</t>
  </si>
  <si>
    <t>Other derivative instruments</t>
  </si>
  <si>
    <t>Autres instruments dérivés</t>
  </si>
  <si>
    <t>Termes généraux</t>
  </si>
  <si>
    <t>Il existe deux variantes de transfert envisageables :</t>
  </si>
  <si>
    <r>
      <rPr>
        <sz val="11"/>
        <color theme="1"/>
        <rFont val="Arial"/>
        <family val="2"/>
      </rPr>
      <t xml:space="preserve">Exemple pour la </t>
    </r>
    <r>
      <rPr>
        <b/>
        <sz val="11"/>
        <color theme="1"/>
        <rFont val="Arial"/>
        <family val="2"/>
      </rPr>
      <t>variante 1</t>
    </r>
    <r>
      <rPr>
        <sz val="11"/>
        <color theme="1"/>
        <rFont val="Arial"/>
        <family val="2"/>
      </rPr>
      <t> :</t>
    </r>
    <r>
      <rPr>
        <sz val="11"/>
        <color rgb="FF000000"/>
        <rFont val="Arial"/>
        <family val="2"/>
      </rPr>
      <t xml:space="preserve"> </t>
    </r>
    <r>
      <rPr>
        <sz val="11"/>
        <color rgb="FF000000"/>
        <rFont val="Arial"/>
        <family val="2"/>
      </rPr>
      <t xml:space="preserve">Transfert d’un poste du bilan à </t>
    </r>
    <r>
      <rPr>
        <u/>
        <sz val="11"/>
        <color rgb="FF000000"/>
        <rFont val="Arial"/>
        <family val="2"/>
      </rPr>
      <t>un</t>
    </r>
    <r>
      <rPr>
        <sz val="11"/>
        <color rgb="FF000000"/>
        <rFont val="Arial"/>
        <family val="2"/>
      </rPr>
      <t xml:space="preserve"> autre poste du bilan (automatisé et donc à privilégier par rapport à la variante 2)</t>
    </r>
  </si>
  <si>
    <t>« Une partie des frais d’acquisition activés doit être reprise dans les réserves mathématiques. »</t>
  </si>
  <si>
    <t>Engagements d’assurance (bruts)</t>
  </si>
  <si>
    <r>
      <rPr>
        <sz val="11"/>
        <color theme="1"/>
        <rFont val="Arial"/>
        <family val="2"/>
      </rPr>
      <t xml:space="preserve">Exemple pour la </t>
    </r>
    <r>
      <rPr>
        <b/>
        <sz val="11"/>
        <color theme="1"/>
        <rFont val="Arial"/>
        <family val="2"/>
      </rPr>
      <t>variante 2</t>
    </r>
    <r>
      <rPr>
        <sz val="11"/>
        <color theme="1"/>
        <rFont val="Arial"/>
        <family val="2"/>
      </rPr>
      <t> :</t>
    </r>
    <r>
      <rPr>
        <sz val="11"/>
        <color rgb="FF000000"/>
        <rFont val="Arial"/>
        <family val="2"/>
      </rPr>
      <t xml:space="preserve"> </t>
    </r>
    <r>
      <rPr>
        <sz val="11"/>
        <color rgb="FF000000"/>
        <rFont val="Arial"/>
        <family val="2"/>
      </rPr>
      <t xml:space="preserve">Transfert d’un poste du bilan à </t>
    </r>
    <r>
      <rPr>
        <u/>
        <sz val="11"/>
        <color rgb="FF000000"/>
        <rFont val="Arial"/>
        <family val="2"/>
      </rPr>
      <t>plusieurs</t>
    </r>
    <r>
      <rPr>
        <sz val="11"/>
        <color rgb="FF000000"/>
        <rFont val="Arial"/>
        <family val="2"/>
      </rPr>
      <t xml:space="preserve"> autres postes du bilan (uniquement pour les ventilations complexes !)</t>
    </r>
  </si>
  <si>
    <r>
      <t xml:space="preserve">Placements de capitaux pour le compte et aux risques de titulaires de contrats d’assurance sur la vie (sans </t>
    </r>
    <r>
      <rPr>
        <b/>
        <i/>
        <u/>
        <sz val="11"/>
        <rFont val="Arial"/>
        <family val="2"/>
      </rPr>
      <t>« separate accounts »</t>
    </r>
    <r>
      <rPr>
        <b/>
        <sz val="11"/>
        <rFont val="Arial"/>
        <family val="2"/>
      </rPr>
      <t>)</t>
    </r>
  </si>
  <si>
    <t>Colonne B</t>
  </si>
  <si>
    <t>Référencement des cellules avec un numéro de ligne.</t>
  </si>
  <si>
    <t>Colonne C</t>
  </si>
  <si>
    <t>Prise en compte du signe : + pour les actifs et - pour les passifs</t>
  </si>
  <si>
    <t>Colonne H</t>
  </si>
  <si>
    <t>Couleurs utilisées</t>
  </si>
  <si>
    <t>Vert</t>
  </si>
  <si>
    <t>Référencement correct</t>
  </si>
  <si>
    <t>Jaune</t>
  </si>
  <si>
    <t>Référencement manquant</t>
  </si>
  <si>
    <t>Bleu</t>
  </si>
  <si>
    <t>Valeur indiquée</t>
  </si>
  <si>
    <t>Aktiven</t>
  </si>
  <si>
    <t>Rückstellungen für vertragliche Überschussbeteiligungen</t>
  </si>
  <si>
    <t>Anlagefonds: Geldmarktfonds</t>
  </si>
  <si>
    <t>"In der Bilanz wurden sämtliche Anlagefonds unter Anlagefonds: Immobilien erfasst. Effektiv sind aber nur 35'000 in Immobilienfonds investiert."</t>
  </si>
  <si>
    <t>Actifs</t>
  </si>
  <si>
    <t>Provisions pour parts d'excédents contractuels</t>
  </si>
  <si>
    <t>Provisions techniques</t>
  </si>
  <si>
    <t>Versicherungstechnische Rückstellungen</t>
  </si>
  <si>
    <t>« Tous les fonds de placement ont été saisis sous Fonds de placement: bien immobiliers dans le bilan. Mais seuls 35 000 sont effectivement investis dans des fonds immobiliers. »</t>
  </si>
  <si>
    <t>Assets</t>
  </si>
  <si>
    <t>Technical provisions</t>
  </si>
  <si>
    <t>Insurance obligations</t>
  </si>
  <si>
    <t>Premiums carried over</t>
  </si>
  <si>
    <t>“The balance sheet included all investment funds under Investment funds: real estate. However, only 35,000 are actually invested in real estate funds."</t>
  </si>
  <si>
    <t>Market Value Margin</t>
  </si>
  <si>
    <r>
      <rPr>
        <i/>
        <sz val="10"/>
        <color theme="1"/>
        <rFont val="Arial"/>
        <family val="2"/>
      </rPr>
      <t>Best estimate</t>
    </r>
    <r>
      <rPr>
        <sz val="10"/>
        <color theme="1"/>
        <rFont val="Arial"/>
        <family val="2"/>
      </rPr>
      <t xml:space="preserve"> des autres engagements actuariels (maladie): bruts</t>
    </r>
  </si>
  <si>
    <r>
      <rPr>
        <i/>
        <sz val="10"/>
        <color theme="1"/>
        <rFont val="Arial"/>
        <family val="2"/>
      </rPr>
      <t>Insurance linked securities</t>
    </r>
    <r>
      <rPr>
        <sz val="10"/>
        <color theme="1"/>
        <rFont val="Arial"/>
        <family val="2"/>
      </rPr>
      <t xml:space="preserve"> (p. ex.</t>
    </r>
    <r>
      <rPr>
        <i/>
        <sz val="10"/>
        <color theme="1"/>
        <rFont val="Arial"/>
        <family val="2"/>
      </rPr>
      <t xml:space="preserve"> cat bonds</t>
    </r>
    <r>
      <rPr>
        <sz val="10"/>
        <color theme="1"/>
        <rFont val="Arial"/>
        <family val="2"/>
      </rPr>
      <t>)</t>
    </r>
  </si>
  <si>
    <r>
      <t xml:space="preserve">Autres placements (investissements dans l'infrastructure, </t>
    </r>
    <r>
      <rPr>
        <i/>
        <sz val="10"/>
        <color theme="1"/>
        <rFont val="Arial"/>
        <family val="2"/>
      </rPr>
      <t>currency overlay</t>
    </r>
    <r>
      <rPr>
        <sz val="10"/>
        <color theme="1"/>
        <rFont val="Arial"/>
        <family val="2"/>
      </rPr>
      <t>, e.a.)</t>
    </r>
  </si>
  <si>
    <t>T.01.20</t>
  </si>
  <si>
    <t>T.01.21</t>
  </si>
  <si>
    <t>mit festen Zinssätzen</t>
  </si>
  <si>
    <t>mit variablen Zinssätzen</t>
  </si>
  <si>
    <t>avec taux d'intérêt fixes</t>
  </si>
  <si>
    <t>avec taux d'intérêt variables</t>
  </si>
  <si>
    <t>with fixed interest rates</t>
  </si>
  <si>
    <t>with variable interest rates</t>
  </si>
  <si>
    <t>Private Debt</t>
  </si>
  <si>
    <t>Senior Secured Loans</t>
  </si>
  <si>
    <t>Rohstoffe</t>
  </si>
  <si>
    <t>Asset Backed Securities (ABS)</t>
  </si>
  <si>
    <t>Mortgage Backed Securities (MBS)</t>
  </si>
  <si>
    <t>Collateralized Debt Obligations (CDO) und Collateralized Loan Obligations (CLO)</t>
  </si>
  <si>
    <t>Autres placements de capitaux</t>
  </si>
  <si>
    <t>Gemäss der Technischen Beschreibung des SST-Standardmodells der jeweiligen Sparten. Für Lebensversicherungen ist das erwartete versicherungstechnische Ergebnis = 0.</t>
  </si>
  <si>
    <r>
      <t xml:space="preserve">Selon le document </t>
    </r>
    <r>
      <rPr>
        <i/>
        <sz val="10"/>
        <color theme="1"/>
        <rFont val="Arial"/>
        <family val="2"/>
      </rPr>
      <t>Description technique du modèle standard SST de la branche respective. Pour l'assurance-vie le résultat d'assurance attendu est  = 0.</t>
    </r>
  </si>
  <si>
    <r>
      <t xml:space="preserve">Gemäss Dokument </t>
    </r>
    <r>
      <rPr>
        <i/>
        <sz val="10"/>
        <color theme="1"/>
        <rFont val="Arial"/>
        <family val="2"/>
      </rPr>
      <t>Technische Beschreibung für das SST-Standardmodell Lebenversicherung, Abschnitt 6.2.3</t>
    </r>
  </si>
  <si>
    <r>
      <t xml:space="preserve">According to </t>
    </r>
    <r>
      <rPr>
        <i/>
        <sz val="10"/>
        <color theme="1"/>
        <rFont val="Arial"/>
        <family val="2"/>
      </rPr>
      <t>Technische Beschreibung für das SST-Standardmodell Lebenversicherung, chapter 6.2.3</t>
    </r>
  </si>
  <si>
    <r>
      <t xml:space="preserve">Selon le document </t>
    </r>
    <r>
      <rPr>
        <i/>
        <sz val="10"/>
        <color theme="1"/>
        <rFont val="Arial"/>
        <family val="2"/>
      </rPr>
      <t>Description technique du modèle standard SST assurance-vie, section 6.2.3</t>
    </r>
  </si>
  <si>
    <t>2.9. Passive Rechnungsabgrenzungen</t>
  </si>
  <si>
    <t>Anzahl Simulationen</t>
  </si>
  <si>
    <t>Nombre de simulations</t>
  </si>
  <si>
    <t>Number of simulations</t>
  </si>
  <si>
    <t>Aktien von Gruppengesellschaften</t>
  </si>
  <si>
    <t>Forderungen gegenüber Versicherungsgesellschaften: übrige</t>
  </si>
  <si>
    <t>Forderungen gegenüber Versicherungs- und Rückversicherungsgesellschaften</t>
  </si>
  <si>
    <t>Latente Steuerverpflichtungen</t>
  </si>
  <si>
    <t>Eingabefelder: In diesen Feldern werden versicherungsspezifische Angaben erwartet.</t>
  </si>
  <si>
    <t>101000000MCV</t>
  </si>
  <si>
    <t>101100000MCV</t>
  </si>
  <si>
    <t>101200000MCV</t>
  </si>
  <si>
    <t>101200100MCV</t>
  </si>
  <si>
    <t>101200200MCV</t>
  </si>
  <si>
    <t>101300000MCV</t>
  </si>
  <si>
    <t>101300100MCV</t>
  </si>
  <si>
    <t>101300200MCV</t>
  </si>
  <si>
    <t>101300300MCV</t>
  </si>
  <si>
    <t>101300400MCV</t>
  </si>
  <si>
    <t>101310000MCV</t>
  </si>
  <si>
    <t>101400000MCV</t>
  </si>
  <si>
    <t>101410000MCV</t>
  </si>
  <si>
    <t>101500000MCV</t>
  </si>
  <si>
    <t>101600000MCV</t>
  </si>
  <si>
    <t>101600100MCV</t>
  </si>
  <si>
    <t>101600200MCV</t>
  </si>
  <si>
    <t>101600300MCV</t>
  </si>
  <si>
    <t>Beschreibung der Änderung</t>
  </si>
  <si>
    <t>101700000MCV</t>
  </si>
  <si>
    <t>101710000MCV</t>
  </si>
  <si>
    <t>101710100MCV</t>
  </si>
  <si>
    <t>101710200MCV</t>
  </si>
  <si>
    <t>101710300MCV</t>
  </si>
  <si>
    <t>Actions de sociétés du groupe</t>
  </si>
  <si>
    <t>Investments in subsidiaries: quota &gt;50%</t>
  </si>
  <si>
    <t>Investments in subsidiaries: quota &gt;20% to 50%</t>
  </si>
  <si>
    <t>Investments in subsidiaries: insurance companies</t>
  </si>
  <si>
    <t>Other investments in subsidiaries</t>
  </si>
  <si>
    <t>Mixed-use real estate: domestic</t>
  </si>
  <si>
    <t>Government and central banks bonds</t>
  </si>
  <si>
    <t>Policyholders' loan</t>
  </si>
  <si>
    <t>Anlagefonds: festverzinsliche Wertpapiere</t>
  </si>
  <si>
    <t>Investment funds: fixed income securities</t>
  </si>
  <si>
    <t>101710400MCV</t>
  </si>
  <si>
    <t>101710500MCV</t>
  </si>
  <si>
    <t>101710600MCV</t>
  </si>
  <si>
    <t>Alternative Kapitalanlagen</t>
  </si>
  <si>
    <t>Placements alternatifs de capitaux</t>
  </si>
  <si>
    <t>101720000MCV</t>
  </si>
  <si>
    <t>101721000MCV</t>
  </si>
  <si>
    <t>101722000MCV</t>
  </si>
  <si>
    <t>101723100MCV</t>
  </si>
  <si>
    <t>101723200MCV</t>
  </si>
  <si>
    <t>101723300MCV</t>
  </si>
  <si>
    <t>101730000MCV</t>
  </si>
  <si>
    <t>Andere strukturierte Produkte</t>
  </si>
  <si>
    <t>Other structured products</t>
  </si>
  <si>
    <t>Autres produits structurés</t>
  </si>
  <si>
    <t>101740000MCV</t>
  </si>
  <si>
    <t>101741000MCV</t>
  </si>
  <si>
    <t>101741100MCV</t>
  </si>
  <si>
    <t>101741200MCV</t>
  </si>
  <si>
    <t>101741300MCV</t>
  </si>
  <si>
    <t>101741400MCV</t>
  </si>
  <si>
    <t>101742100MCV</t>
  </si>
  <si>
    <t>Sonstige verbriefte Forderungen</t>
  </si>
  <si>
    <t>Autres créances titrisées</t>
  </si>
  <si>
    <t>Other securitized claims</t>
  </si>
  <si>
    <t>102000000MCV</t>
  </si>
  <si>
    <t>102100000MCV</t>
  </si>
  <si>
    <t>102200000MCV</t>
  </si>
  <si>
    <t>103000000MCV</t>
  </si>
  <si>
    <t>103000100MCV</t>
  </si>
  <si>
    <t>103000200MCV</t>
  </si>
  <si>
    <t>103000300MCV</t>
  </si>
  <si>
    <t>103000400MCV</t>
  </si>
  <si>
    <t>103000500MCV</t>
  </si>
  <si>
    <t>103000600MCV</t>
  </si>
  <si>
    <t>104000000MCV</t>
  </si>
  <si>
    <t>105000000MCV</t>
  </si>
  <si>
    <t>105000100MCV</t>
  </si>
  <si>
    <t>105000200MCV</t>
  </si>
  <si>
    <t>105000300MCV</t>
  </si>
  <si>
    <t>Direktversicherung: Lebensversicherungsgeschäft (ohne ALV)</t>
  </si>
  <si>
    <t>Direktversicherung: Schadenversicherungsgeschäft</t>
  </si>
  <si>
    <t>Direktversicherung: Krankenversicherungsgeschäft</t>
  </si>
  <si>
    <t>Direktversicherung: Anteilgebundenes Lebensversicherungsgeschäft</t>
  </si>
  <si>
    <t>Assurance directe : assurance dommages</t>
  </si>
  <si>
    <t>Assurance directe : assurance-maladie</t>
  </si>
  <si>
    <t>Réassurance active : assurance dommages</t>
  </si>
  <si>
    <t>Réassurance active : assurance-maladie</t>
  </si>
  <si>
    <t>Direct insurance: life insurance business (excluding unit linked life insurance)</t>
  </si>
  <si>
    <t>Reinsurance: life insurance business (excluding unit linked life insurance)</t>
  </si>
  <si>
    <t>Direct insurance: non-life insurance business</t>
  </si>
  <si>
    <t>Direct insurance: health insurance business</t>
  </si>
  <si>
    <t>Reinsurance: health insurance business</t>
  </si>
  <si>
    <t>Direct insurance: unit-linked life insurance business</t>
  </si>
  <si>
    <t>Reinsurance: unit-linked life insurance business</t>
  </si>
  <si>
    <t>106101000BE</t>
  </si>
  <si>
    <t>106102000BE</t>
  </si>
  <si>
    <t>106201000BE</t>
  </si>
  <si>
    <t>106202000BE</t>
  </si>
  <si>
    <t>106203000BE</t>
  </si>
  <si>
    <t>106204000BE</t>
  </si>
  <si>
    <t>106301000BE</t>
  </si>
  <si>
    <t>106302000BE</t>
  </si>
  <si>
    <t>107000000MCV</t>
  </si>
  <si>
    <t>108000000MCV</t>
  </si>
  <si>
    <t>109000000MCV</t>
  </si>
  <si>
    <t>110000000MCV</t>
  </si>
  <si>
    <t>Créances sur des compagnies d'assurance et de réassurance</t>
  </si>
  <si>
    <t>Receivables from insurance and reinsurance companies</t>
  </si>
  <si>
    <t>Créances sur des compagnies d'assurance: autres</t>
  </si>
  <si>
    <t>Receivables from insurance companies: other</t>
  </si>
  <si>
    <t>111000000MCV</t>
  </si>
  <si>
    <t>112000000MCV</t>
  </si>
  <si>
    <t>113000000MCV</t>
  </si>
  <si>
    <t>114000000MCV</t>
  </si>
  <si>
    <t>200000000MCV</t>
  </si>
  <si>
    <t>100000000MCV</t>
  </si>
  <si>
    <t>201102000BE</t>
  </si>
  <si>
    <t>201201000BE</t>
  </si>
  <si>
    <t>201101000BE</t>
  </si>
  <si>
    <t>201203000BE</t>
  </si>
  <si>
    <t>158)</t>
  </si>
  <si>
    <t>202020000BE</t>
  </si>
  <si>
    <t>201204000BE</t>
  </si>
  <si>
    <t>203000000MCV</t>
  </si>
  <si>
    <t>204000000MCV</t>
  </si>
  <si>
    <t>205000000MCV</t>
  </si>
  <si>
    <t>205000100MCV</t>
  </si>
  <si>
    <t>205000200MCV</t>
  </si>
  <si>
    <t>205000300MCV</t>
  </si>
  <si>
    <t>205000400MCV</t>
  </si>
  <si>
    <t>205000500MCV</t>
  </si>
  <si>
    <t>205000600MCV</t>
  </si>
  <si>
    <t>206000000MCV</t>
  </si>
  <si>
    <t>207000000MCV</t>
  </si>
  <si>
    <t>208000000MCV</t>
  </si>
  <si>
    <t>209000000MCV</t>
  </si>
  <si>
    <t>Engagements fiscaux différés</t>
  </si>
  <si>
    <t>Deferred tax liabilities</t>
  </si>
  <si>
    <t>Equity securities of group companies</t>
  </si>
  <si>
    <t>Captive</t>
  </si>
  <si>
    <t>1.10 Receivables from insurance business</t>
  </si>
  <si>
    <t>147)</t>
  </si>
  <si>
    <t>Andere Alternative Kapitalanlagen</t>
  </si>
  <si>
    <t>Autres placements alternatifs de capitaux</t>
  </si>
  <si>
    <t>Forderungen gegenüber Versicherungsgesellschaften: abgegebene</t>
  </si>
  <si>
    <t>Forderungen gegenüber Versicherungsgesellschaften: übernommene</t>
  </si>
  <si>
    <t>201202000BE</t>
  </si>
  <si>
    <t>207300200XXX</t>
  </si>
  <si>
    <t>210000000MCV</t>
  </si>
  <si>
    <t>Emprunts publics et de banques centrales</t>
  </si>
  <si>
    <t>Autre emprunts (emprunts à option, emprunts supranationaux)</t>
  </si>
  <si>
    <t xml:space="preserve">Senior Secured Loans </t>
  </si>
  <si>
    <t>Matières premières</t>
  </si>
  <si>
    <r>
      <rPr>
        <i/>
        <sz val="10"/>
        <color theme="1"/>
        <rFont val="Arial"/>
        <family val="2"/>
      </rPr>
      <t>Asset backed securities</t>
    </r>
    <r>
      <rPr>
        <sz val="10"/>
        <color theme="1"/>
        <rFont val="Arial"/>
        <family val="2"/>
      </rPr>
      <t xml:space="preserve"> (ABS)</t>
    </r>
  </si>
  <si>
    <r>
      <rPr>
        <i/>
        <sz val="10"/>
        <color theme="1"/>
        <rFont val="Arial"/>
        <family val="2"/>
      </rPr>
      <t>Mortgage backed securities</t>
    </r>
    <r>
      <rPr>
        <sz val="10"/>
        <color theme="1"/>
        <rFont val="Arial"/>
        <family val="2"/>
      </rPr>
      <t xml:space="preserve"> (MBS)</t>
    </r>
  </si>
  <si>
    <t>1.9 Immobilisations incorporelles</t>
  </si>
  <si>
    <t>2.5 Dettes sur instruments financiers dérivés</t>
  </si>
  <si>
    <t>2.9 Comptes de régularisation</t>
  </si>
  <si>
    <t>1.8 Frais d'acquisition différés, activés, non encore amortis</t>
  </si>
  <si>
    <t>1.1.7 Autres placements</t>
  </si>
  <si>
    <t>1.1.1 Biens immobiliers</t>
  </si>
  <si>
    <t>1.1 Placements</t>
  </si>
  <si>
    <t>1.15 Total des actifs</t>
  </si>
  <si>
    <t>Placements collectifs de capitaux</t>
  </si>
  <si>
    <t>Total des autres actifs</t>
  </si>
  <si>
    <r>
      <t>C</t>
    </r>
    <r>
      <rPr>
        <i/>
        <sz val="10"/>
        <color theme="1"/>
        <rFont val="Arial"/>
        <family val="2"/>
      </rPr>
      <t>ollateralized debt obligations</t>
    </r>
    <r>
      <rPr>
        <sz val="10"/>
        <color theme="1"/>
        <rFont val="Arial"/>
        <family val="2"/>
      </rPr>
      <t xml:space="preserve"> (CDO) et C</t>
    </r>
    <r>
      <rPr>
        <i/>
        <sz val="10"/>
        <color theme="1"/>
        <rFont val="Arial"/>
        <family val="2"/>
      </rPr>
      <t>ollateralized loan obligations</t>
    </r>
    <r>
      <rPr>
        <sz val="10"/>
        <color theme="1"/>
        <rFont val="Arial"/>
        <family val="2"/>
      </rPr>
      <t xml:space="preserve"> (CLO)</t>
    </r>
  </si>
  <si>
    <t>1.1.3 Fixed-income securities</t>
  </si>
  <si>
    <t>1.1.6 Equities</t>
  </si>
  <si>
    <t>Collective investment schemes</t>
  </si>
  <si>
    <t>1.2 Financial investments from unit-linked life insurance</t>
  </si>
  <si>
    <t>1.7 Fixed assets</t>
  </si>
  <si>
    <t>1.14 Accrued assets</t>
  </si>
  <si>
    <t>2.9 Accrued liabilities</t>
  </si>
  <si>
    <t>2.10 Subordinated debts</t>
  </si>
  <si>
    <t>2.6 Deposits retained on ceded reinsurance</t>
  </si>
  <si>
    <t>Investment funds: equity securities</t>
  </si>
  <si>
    <t>Private debt</t>
  </si>
  <si>
    <t>Senior secured loans</t>
  </si>
  <si>
    <t>Commodities</t>
  </si>
  <si>
    <t>Asset backed securities (ABS)</t>
  </si>
  <si>
    <t>Mortgage backed securities (MBS)</t>
  </si>
  <si>
    <t>Collateralized debt obligations (CDO) and Collateralized loan obligations (CLO)</t>
  </si>
  <si>
    <t>Equity securities and similar securities</t>
  </si>
  <si>
    <t>Other fixed assets</t>
  </si>
  <si>
    <t>Equalization reserves and other statutory reserves (life): gross</t>
  </si>
  <si>
    <t>Equalization reserves and other statutory reserves (non-life): gross</t>
  </si>
  <si>
    <t>Equalization reserves and other statutory reserves (health): gross</t>
  </si>
  <si>
    <t>197)</t>
  </si>
  <si>
    <t>198)</t>
  </si>
  <si>
    <t>Schwankungsrückstellungen für anteilgebundene Lebensversicherungen direktes Geschäft: Brutto</t>
  </si>
  <si>
    <t>Provisions de fluctuation de l'assurance sur la vie liée à des participations; affaires directes: brutes</t>
  </si>
  <si>
    <t>Equalization reserves for unit-linked life insurancee; direct business: gross</t>
  </si>
  <si>
    <t>Alle zusätzlichen Effekte auf das Zielkapital, ausgenommen die Differenz zwischen dem RTK unter Runoff und unter Going Concern Bedingungen. Diese Differenz wird direkt im R-Tool berechnet und in der Solvenzberechnung berücksichtigt. Sie muss deshalb nicht hier berücksichtigt werden.</t>
  </si>
  <si>
    <t>All additional effects on the target capital, except the difference between the RTK under runoff and going concern conditions. This difference is calculated directly in the R-Tool and taken into account in the solvency calculation. It therefore does not have to be taken into account here.</t>
  </si>
  <si>
    <t>T.07.22</t>
  </si>
  <si>
    <t>Aufriss nach Währungen</t>
  </si>
  <si>
    <t>Répartition selon la monnaie</t>
  </si>
  <si>
    <t>Currency breakdown</t>
  </si>
  <si>
    <r>
      <t xml:space="preserve">Selon le document </t>
    </r>
    <r>
      <rPr>
        <i/>
        <sz val="10"/>
        <color theme="1"/>
        <rFont val="Arial"/>
        <family val="2"/>
      </rPr>
      <t>Description technique du modèle standard SST assurance-maladie</t>
    </r>
    <r>
      <rPr>
        <sz val="10"/>
        <color theme="1"/>
        <rFont val="Arial"/>
        <family val="2"/>
      </rPr>
      <t>, section 11.6.</t>
    </r>
  </si>
  <si>
    <r>
      <t xml:space="preserve">According to </t>
    </r>
    <r>
      <rPr>
        <i/>
        <sz val="10"/>
        <color theme="1"/>
        <rFont val="Arial"/>
        <family val="2"/>
      </rPr>
      <t>Technische Beschreibung für das SST-Standardmodell Krankenversicherung</t>
    </r>
    <r>
      <rPr>
        <sz val="10"/>
        <color theme="1"/>
        <rFont val="Arial"/>
        <family val="2"/>
      </rPr>
      <t>, chapter 11.6.</t>
    </r>
  </si>
  <si>
    <t>Tous les effets supplémentaires sur le capital cible, sauf la différence entre le CPR en situation de run-off et en situation de going concern. Cette différence est calculée directement dans le R-Tool et est prise en compte dans le calcul de la solvabilité. Par conséquent, elle ne doit pas être prise en compte ici.</t>
  </si>
  <si>
    <t>Configuration</t>
  </si>
  <si>
    <t>Beteiligungswert</t>
  </si>
  <si>
    <t>Skalierungsfaktor</t>
  </si>
  <si>
    <t>LLPO anwenden</t>
  </si>
  <si>
    <t>Simulationen der Tochter unter Marktrisiko der Beteiligungen ausweisen</t>
  </si>
  <si>
    <t>show simulations of the daughter at market risk of participations</t>
  </si>
  <si>
    <t>Nachsilbe zur Bezeichnung des ausgegebenen FDS</t>
  </si>
  <si>
    <t>Suffix for the description of the output FDS</t>
  </si>
  <si>
    <t>199)</t>
  </si>
  <si>
    <t>Best Estimate Wert der versicherungstechnischen Verpflichtungen</t>
  </si>
  <si>
    <t>Valeur best estimate des engagements actuariels</t>
  </si>
  <si>
    <t>Best estimate value of insurance liabilities</t>
  </si>
  <si>
    <t>Weitere Allokationen Müssen sich gegenseitig kompensieren. Zu benützen, wenn Spalten G und H nicht genügen. Bitte im SST-Bericht begründen.</t>
  </si>
  <si>
    <t>Autres allocations. Doivent se compenser mutuellement. A utiliser dans le cas où les colonnes G et H ne suffisent pas. Svp expliquer dans le rapport SST</t>
  </si>
  <si>
    <t>Other allocations. Have to compensate each-other. To use in the case columns G and H are not sufficient. Please explain in the SST report.</t>
  </si>
  <si>
    <t>Allokation WERT (Umzulegender Wert)</t>
  </si>
  <si>
    <t>Allocation VALEUR (Valeur à repartir)</t>
  </si>
  <si>
    <t>Allocation VALUE (Value to be allocated)</t>
  </si>
  <si>
    <t>Zwischenergebnis</t>
  </si>
  <si>
    <t>Résultat intermédiare</t>
  </si>
  <si>
    <t>Intermediate result</t>
  </si>
  <si>
    <t>Einzelgeschäft</t>
  </si>
  <si>
    <t>Kollektivgeschäft</t>
  </si>
  <si>
    <t>Affaires individuelles</t>
  </si>
  <si>
    <t>Affaires collectives</t>
  </si>
  <si>
    <t>Individual business</t>
  </si>
  <si>
    <t>Group business</t>
  </si>
  <si>
    <t>T.07.23</t>
  </si>
  <si>
    <t>Aktualisierung des Datums</t>
  </si>
  <si>
    <t>BE Tilde Leben</t>
  </si>
  <si>
    <t>BE Tilde Vie</t>
  </si>
  <si>
    <t>BE Tilde Life</t>
  </si>
  <si>
    <t>BE Tilde Kranken</t>
  </si>
  <si>
    <t>BE Tilde Maladie</t>
  </si>
  <si>
    <t>BE Tilde Health</t>
  </si>
  <si>
    <r>
      <t xml:space="preserve">Selon le document </t>
    </r>
    <r>
      <rPr>
        <i/>
        <sz val="10"/>
        <color theme="1"/>
        <rFont val="Arial"/>
        <family val="2"/>
      </rPr>
      <t>Description technique Bilan SST, courbes de taux sans risque et Fundamental Data Sheet</t>
    </r>
    <r>
      <rPr>
        <sz val="10"/>
        <color theme="1"/>
        <rFont val="Arial"/>
        <family val="2"/>
      </rPr>
      <t>, section 4.2.7</t>
    </r>
  </si>
  <si>
    <r>
      <t xml:space="preserve">Gemäss Dokument </t>
    </r>
    <r>
      <rPr>
        <i/>
        <sz val="10"/>
        <color theme="1"/>
        <rFont val="Arial"/>
        <family val="2"/>
      </rPr>
      <t>Technische Beschreibung SST-Bilanz, risikolose Zinskurven und Fundamental Data Sheet</t>
    </r>
    <r>
      <rPr>
        <sz val="10"/>
        <color theme="1"/>
        <rFont val="Arial"/>
        <family val="2"/>
      </rPr>
      <t>, Abschnitt 4.2.7.</t>
    </r>
  </si>
  <si>
    <t>SST-Nettoaktiven</t>
  </si>
  <si>
    <t>T.07.24</t>
  </si>
  <si>
    <t>T.07.25</t>
  </si>
  <si>
    <t>T.07.26</t>
  </si>
  <si>
    <t>T.07.27</t>
  </si>
  <si>
    <r>
      <t>Gemäss Dok</t>
    </r>
    <r>
      <rPr>
        <sz val="10"/>
        <color theme="1"/>
        <rFont val="Arial"/>
        <family val="2"/>
      </rPr>
      <t xml:space="preserve">ument </t>
    </r>
    <r>
      <rPr>
        <i/>
        <sz val="10"/>
        <color theme="1"/>
        <rFont val="Arial"/>
        <family val="2"/>
      </rPr>
      <t>Technische Beschreibung für das SST-Standardmodell Krankenversicherung</t>
    </r>
    <r>
      <rPr>
        <sz val="10"/>
        <color theme="1"/>
        <rFont val="Arial"/>
        <family val="2"/>
      </rPr>
      <t>, Abschnitt 11.6</t>
    </r>
    <r>
      <rPr>
        <sz val="10"/>
        <color theme="1"/>
        <rFont val="Arial"/>
        <family val="2"/>
      </rPr>
      <t>.</t>
    </r>
  </si>
  <si>
    <t>T.07.28</t>
  </si>
  <si>
    <t>T.07.29</t>
  </si>
  <si>
    <t>Facteur d'échelle</t>
  </si>
  <si>
    <t>Valeur de participation</t>
  </si>
  <si>
    <t>Applier la LLPO</t>
  </si>
  <si>
    <r>
      <t xml:space="preserve">Gemäss Dokument </t>
    </r>
    <r>
      <rPr>
        <i/>
        <sz val="10"/>
        <color theme="1"/>
        <rFont val="Arial"/>
        <family val="2"/>
      </rPr>
      <t>Technische Beschreibung für das Standardmodell Beteiligungen</t>
    </r>
  </si>
  <si>
    <r>
      <t xml:space="preserve">Selon le document </t>
    </r>
    <r>
      <rPr>
        <i/>
        <sz val="10"/>
        <color theme="1"/>
        <rFont val="Arial"/>
        <family val="2"/>
      </rPr>
      <t>Technische Beschreibung Standardmodell Beteiligungen</t>
    </r>
  </si>
  <si>
    <r>
      <t xml:space="preserve">According to </t>
    </r>
    <r>
      <rPr>
        <i/>
        <sz val="10"/>
        <color theme="1"/>
        <rFont val="Arial"/>
        <family val="2"/>
      </rPr>
      <t xml:space="preserve">Technische Beschreibung für das SST-Standardmodell Schadenversicherung </t>
    </r>
    <r>
      <rPr>
        <sz val="10"/>
        <color theme="1"/>
        <rFont val="Arial"/>
        <family val="2"/>
      </rPr>
      <t xml:space="preserve">/ </t>
    </r>
    <r>
      <rPr>
        <i/>
        <sz val="10"/>
        <color theme="1"/>
        <rFont val="Arial"/>
        <family val="2"/>
      </rPr>
      <t>Technical description StandRe</t>
    </r>
    <r>
      <rPr>
        <sz val="10"/>
        <color theme="1"/>
        <rFont val="Arial"/>
        <family val="2"/>
      </rPr>
      <t xml:space="preserve"> chapter 8.3/ SST-Captives-Template sheet CA_input_SST-Template</t>
    </r>
  </si>
  <si>
    <r>
      <t xml:space="preserve">According to </t>
    </r>
    <r>
      <rPr>
        <i/>
        <sz val="10"/>
        <color theme="1"/>
        <rFont val="Arial"/>
        <family val="2"/>
      </rPr>
      <t>Technische Beschreibung SST-Bilanz, risikolose Zinskurven und Fundamental Data Sheet</t>
    </r>
    <r>
      <rPr>
        <sz val="10"/>
        <color theme="1"/>
        <rFont val="Arial"/>
        <family val="2"/>
      </rPr>
      <t>, chapter 4.2.7</t>
    </r>
  </si>
  <si>
    <r>
      <t>According to</t>
    </r>
    <r>
      <rPr>
        <i/>
        <sz val="10"/>
        <color theme="1"/>
        <rFont val="Arial"/>
        <family val="2"/>
      </rPr>
      <t xml:space="preserve"> Technische Beschreibung Standardmodell Beteiligungen</t>
    </r>
  </si>
  <si>
    <r>
      <t xml:space="preserve">Gemäss Dokument </t>
    </r>
    <r>
      <rPr>
        <i/>
        <sz val="10"/>
        <color theme="1"/>
        <rFont val="Arial"/>
        <family val="2"/>
      </rPr>
      <t>Technische Beschreibung für das SST-Standardmodell Schadenversicherung</t>
    </r>
    <r>
      <rPr>
        <sz val="10"/>
        <color theme="1"/>
        <rFont val="Arial"/>
        <family val="2"/>
      </rPr>
      <t xml:space="preserve"> / </t>
    </r>
    <r>
      <rPr>
        <i/>
        <sz val="10"/>
        <color theme="1"/>
        <rFont val="Arial"/>
        <family val="2"/>
      </rPr>
      <t>Technical description StandRe</t>
    </r>
    <r>
      <rPr>
        <sz val="10"/>
        <color theme="1"/>
        <rFont val="Arial"/>
        <family val="2"/>
      </rPr>
      <t xml:space="preserve"> Abschnitt 8.3 / SST-Captives-Template Blatt CA_input_SST-Template</t>
    </r>
  </si>
  <si>
    <t>Participation value</t>
  </si>
  <si>
    <t>Scaling factor</t>
  </si>
  <si>
    <t>Apply the LLPO</t>
  </si>
  <si>
    <t>Verbindlichkeiten</t>
  </si>
  <si>
    <t>Engagements</t>
  </si>
  <si>
    <t>Total Verbindlichkeiten</t>
  </si>
  <si>
    <t>Total des engagements</t>
  </si>
  <si>
    <t>T.02.10</t>
  </si>
  <si>
    <t>T.32.01</t>
  </si>
  <si>
    <t>T.05.17</t>
  </si>
  <si>
    <t>T.05.18</t>
  </si>
  <si>
    <t>T.05.19</t>
  </si>
  <si>
    <t>T.05.20</t>
  </si>
  <si>
    <t>T.05.21</t>
  </si>
  <si>
    <t>T.05.22</t>
  </si>
  <si>
    <t>T.05.23</t>
  </si>
  <si>
    <t>T.05.24</t>
  </si>
  <si>
    <t>T.05.25</t>
  </si>
  <si>
    <t>T.05.26</t>
  </si>
  <si>
    <t>T.05.27</t>
  </si>
  <si>
    <t>T.05.28</t>
  </si>
  <si>
    <t>T.05.29</t>
  </si>
  <si>
    <t>T.05.30</t>
  </si>
  <si>
    <t>T.05.31</t>
  </si>
  <si>
    <t>T.06.30</t>
  </si>
  <si>
    <t>T.06.31</t>
  </si>
  <si>
    <t>T.06.32</t>
  </si>
  <si>
    <t>T.06.33</t>
  </si>
  <si>
    <t>T.06.34</t>
  </si>
  <si>
    <t>T.06.35</t>
  </si>
  <si>
    <t>T.06.36</t>
  </si>
  <si>
    <t>T.06.37</t>
  </si>
  <si>
    <t>T.06.38</t>
  </si>
  <si>
    <t>T.06.39</t>
  </si>
  <si>
    <t>T.06.40</t>
  </si>
  <si>
    <t>T.06.41</t>
  </si>
  <si>
    <t>T.06.42</t>
  </si>
  <si>
    <t>T.06.43</t>
  </si>
  <si>
    <t>T.06.44</t>
  </si>
  <si>
    <t>T.06.45</t>
  </si>
  <si>
    <t>T.06.46</t>
  </si>
  <si>
    <t>T.06.47</t>
  </si>
  <si>
    <t>T.06.48</t>
  </si>
  <si>
    <t>T.06.49</t>
  </si>
  <si>
    <t>T.06.50</t>
  </si>
  <si>
    <t>T.06.51</t>
  </si>
  <si>
    <t>T.06.52</t>
  </si>
  <si>
    <t>T.06.53</t>
  </si>
  <si>
    <t>T.06.54</t>
  </si>
  <si>
    <t>T.06.55</t>
  </si>
  <si>
    <t>T.06.56</t>
  </si>
  <si>
    <t>T.06.57</t>
  </si>
  <si>
    <t>T.06.58</t>
  </si>
  <si>
    <t>T.06.59</t>
  </si>
  <si>
    <t>T.06.60</t>
  </si>
  <si>
    <t>T.06.61</t>
  </si>
  <si>
    <t>T.06.62</t>
  </si>
  <si>
    <t>T.06.63</t>
  </si>
  <si>
    <t>T.06.64</t>
  </si>
  <si>
    <t>T.06.65</t>
  </si>
  <si>
    <t>T.06.66</t>
  </si>
  <si>
    <t>T.06.67</t>
  </si>
  <si>
    <t>T.06.68</t>
  </si>
  <si>
    <t>T.06.69</t>
  </si>
  <si>
    <t>T.06.70</t>
  </si>
  <si>
    <t>T.06.71</t>
  </si>
  <si>
    <t>T.06.72</t>
  </si>
  <si>
    <t>T.06.73</t>
  </si>
  <si>
    <t>T.06.74</t>
  </si>
  <si>
    <t>T.06.75</t>
  </si>
  <si>
    <t>T.06.76</t>
  </si>
  <si>
    <t>T.06.77</t>
  </si>
  <si>
    <t>T.06.78</t>
  </si>
  <si>
    <t>T.06.79</t>
  </si>
  <si>
    <t>T.06.80</t>
  </si>
  <si>
    <t>T.06.81</t>
  </si>
  <si>
    <t>T.06.82</t>
  </si>
  <si>
    <t>T.06.83</t>
  </si>
  <si>
    <t>T.06.84</t>
  </si>
  <si>
    <t>T.06.85</t>
  </si>
  <si>
    <t>T.06.86</t>
  </si>
  <si>
    <t>T.06.87</t>
  </si>
  <si>
    <t>T.06.88</t>
  </si>
  <si>
    <t>T.06.89</t>
  </si>
  <si>
    <t>T.06.90</t>
  </si>
  <si>
    <t>T.06.91</t>
  </si>
  <si>
    <t>T.06.92</t>
  </si>
  <si>
    <t>T.06.93</t>
  </si>
  <si>
    <t>T.06.94</t>
  </si>
  <si>
    <t>T.06.95</t>
  </si>
  <si>
    <t>T.06.96</t>
  </si>
  <si>
    <t>T.06.97</t>
  </si>
  <si>
    <t>T.06.98</t>
  </si>
  <si>
    <t>T.06.99</t>
  </si>
  <si>
    <t>T.06.100</t>
  </si>
  <si>
    <t>T.06.101</t>
  </si>
  <si>
    <t>T.06.102</t>
  </si>
  <si>
    <t>T.06.103</t>
  </si>
  <si>
    <t>T.06.104</t>
  </si>
  <si>
    <t>T.06.105</t>
  </si>
  <si>
    <t>T.06.106</t>
  </si>
  <si>
    <t>T.06.107</t>
  </si>
  <si>
    <t>T.06.108</t>
  </si>
  <si>
    <t>T.06.109</t>
  </si>
  <si>
    <t>T.06.110</t>
  </si>
  <si>
    <t>T.06.111</t>
  </si>
  <si>
    <t>T.06.112</t>
  </si>
  <si>
    <t>T.06.113</t>
  </si>
  <si>
    <t>T.06.114</t>
  </si>
  <si>
    <t>T.06.115</t>
  </si>
  <si>
    <t>T.06.116</t>
  </si>
  <si>
    <t>T.06.117</t>
  </si>
  <si>
    <t>T.06.118</t>
  </si>
  <si>
    <t>T.06.119</t>
  </si>
  <si>
    <t>T.06.120</t>
  </si>
  <si>
    <t>T.06.121</t>
  </si>
  <si>
    <t>T.06.122</t>
  </si>
  <si>
    <t>T.06.123</t>
  </si>
  <si>
    <t>T.06.124</t>
  </si>
  <si>
    <t>T.06.125</t>
  </si>
  <si>
    <t>T.06.126</t>
  </si>
  <si>
    <t>T.06.127</t>
  </si>
  <si>
    <t>T.06.128</t>
  </si>
  <si>
    <t>T.06.129</t>
  </si>
  <si>
    <t>T.06.130</t>
  </si>
  <si>
    <t>T.06.131</t>
  </si>
  <si>
    <t>T.06.132</t>
  </si>
  <si>
    <t>T.06.133</t>
  </si>
  <si>
    <t>T.06.134</t>
  </si>
  <si>
    <t>T.06.135</t>
  </si>
  <si>
    <t>T.06.136</t>
  </si>
  <si>
    <t>T.06.137</t>
  </si>
  <si>
    <t>T.06.138</t>
  </si>
  <si>
    <t>T.06.139</t>
  </si>
  <si>
    <t>T.06.140</t>
  </si>
  <si>
    <t>T.06.141</t>
  </si>
  <si>
    <t>T.06.142</t>
  </si>
  <si>
    <t>T.06.143</t>
  </si>
  <si>
    <t>T.06.144</t>
  </si>
  <si>
    <t>T.06.145</t>
  </si>
  <si>
    <t>T.06.146</t>
  </si>
  <si>
    <t>T.06.147</t>
  </si>
  <si>
    <t>T.06.148</t>
  </si>
  <si>
    <t>T.06.149</t>
  </si>
  <si>
    <t>T.06.150</t>
  </si>
  <si>
    <t>T.06.151</t>
  </si>
  <si>
    <t>T.06.152</t>
  </si>
  <si>
    <t>T.06.153</t>
  </si>
  <si>
    <t>T.06.154</t>
  </si>
  <si>
    <t>T.06.155</t>
  </si>
  <si>
    <t>T.06.156</t>
  </si>
  <si>
    <t>T.06.157</t>
  </si>
  <si>
    <t>T.06.158</t>
  </si>
  <si>
    <t>T.06.159</t>
  </si>
  <si>
    <t>T.06.160</t>
  </si>
  <si>
    <t>T.06.161</t>
  </si>
  <si>
    <t>T.06.162</t>
  </si>
  <si>
    <t>T.06.163</t>
  </si>
  <si>
    <t>T.06.164</t>
  </si>
  <si>
    <t>T.06.165</t>
  </si>
  <si>
    <t>T.06.166</t>
  </si>
  <si>
    <t>T.06.167</t>
  </si>
  <si>
    <t>T.06.168</t>
  </si>
  <si>
    <t>T.06.169</t>
  </si>
  <si>
    <t>T.06.170</t>
  </si>
  <si>
    <t>T.06.171</t>
  </si>
  <si>
    <t>T.06.172</t>
  </si>
  <si>
    <t>T.06.173</t>
  </si>
  <si>
    <t>T.06.174</t>
  </si>
  <si>
    <t>T.06.175</t>
  </si>
  <si>
    <t>T.06.176</t>
  </si>
  <si>
    <t>T.06.177</t>
  </si>
  <si>
    <t>T.06.178</t>
  </si>
  <si>
    <t>T.06.179</t>
  </si>
  <si>
    <t>T.06.180</t>
  </si>
  <si>
    <t>T.06.181</t>
  </si>
  <si>
    <t>T.06.182</t>
  </si>
  <si>
    <t>T.06.183</t>
  </si>
  <si>
    <t>T.06.184</t>
  </si>
  <si>
    <t>T.06.185</t>
  </si>
  <si>
    <t>T.06.186</t>
  </si>
  <si>
    <t>T.06.187</t>
  </si>
  <si>
    <t>T.06.188</t>
  </si>
  <si>
    <t>T.06.189</t>
  </si>
  <si>
    <t>T.06.190</t>
  </si>
  <si>
    <t>T.06.191</t>
  </si>
  <si>
    <t>T.06.192</t>
  </si>
  <si>
    <t>T.06.193</t>
  </si>
  <si>
    <t>T.06.194</t>
  </si>
  <si>
    <t>T.06.195</t>
  </si>
  <si>
    <t>T.06.196</t>
  </si>
  <si>
    <t>T.06.197</t>
  </si>
  <si>
    <t>T.06.198</t>
  </si>
  <si>
    <t>T.06.199</t>
  </si>
  <si>
    <t>T.06.200</t>
  </si>
  <si>
    <t>T.06.201</t>
  </si>
  <si>
    <t>T.06.202</t>
  </si>
  <si>
    <t>T.06.203</t>
  </si>
  <si>
    <t>T.06.204</t>
  </si>
  <si>
    <t>T.06.205</t>
  </si>
  <si>
    <t>T.06.206</t>
  </si>
  <si>
    <t>T.06.207</t>
  </si>
  <si>
    <t>T.06.208</t>
  </si>
  <si>
    <t>T.06.209</t>
  </si>
  <si>
    <t>T.06.210</t>
  </si>
  <si>
    <t>T.06.211</t>
  </si>
  <si>
    <t>Glossar - Glossaire - Glossary - Deutsch - Französisch - Englisch</t>
  </si>
  <si>
    <t>Diskontierter Nominalwert der an das risikotragende Kapital (RTK) angerechneten risikoabsorbierenden Kapitalinstrumente (RAK) - mit verbleibender Laufzeit =&lt; 12 Monate</t>
  </si>
  <si>
    <t>Der abdiskontierte Nominalwert dieser Instrumente ist im Zielkapital als Rückzahlung zu berücksichtigen. In SST-Währung. Alternativ kann auf die Anrechnung dieser RAK im RTK verzichtet werden. In diesem Fall ist Zelle D8 leer zu lassen.</t>
  </si>
  <si>
    <r>
      <t xml:space="preserve">Gemäss Dokument </t>
    </r>
    <r>
      <rPr>
        <i/>
        <sz val="10"/>
        <color theme="1"/>
        <rFont val="Arial"/>
        <family val="2"/>
      </rPr>
      <t>Technische Beschreibung für das SST-Standardmodell Aggregation und Mindestbetrag, Abschnitt 6.3</t>
    </r>
  </si>
  <si>
    <r>
      <t xml:space="preserve">Selon le document </t>
    </r>
    <r>
      <rPr>
        <i/>
        <sz val="10"/>
        <color theme="1"/>
        <rFont val="Arial"/>
        <family val="2"/>
      </rPr>
      <t>Description technique du modèle standard SST pour l'agrégation et le montant minimum, section 6.3</t>
    </r>
  </si>
  <si>
    <r>
      <t xml:space="preserve">According to </t>
    </r>
    <r>
      <rPr>
        <i/>
        <sz val="10"/>
        <color theme="1"/>
        <rFont val="Arial"/>
        <family val="2"/>
      </rPr>
      <t>Technische Beschreibung für das SST-Standardmodell Aggregation und Mindestbetrag, chapter 6.3</t>
    </r>
  </si>
  <si>
    <t>Differenzen zwischen statutarischer und marktkonformer Bewertung (SST-Bilanz)</t>
  </si>
  <si>
    <t>Differences entre l'évaluation statutaire et conforme au marché</t>
  </si>
  <si>
    <t>Bewertungsdifferenzen zw. statutarischem und marktkonformem Wert</t>
  </si>
  <si>
    <t>Différences d'évaluation entre la valeur statutaire et conforme au marché</t>
  </si>
  <si>
    <t>Tabellenblätter, die für die Steuerung des Tools notwendig sind. Diese Tabellenblätter sind in der Regel nicht zu ändern.</t>
  </si>
  <si>
    <t>Onglets pour le controle du SST-Tool. En principe ces onglets ne doivent pas être modifiés.</t>
  </si>
  <si>
    <t>Worksheets for steering the SST-Tool. As a rule these worksheets are not to be modified.</t>
  </si>
  <si>
    <t>Differences between the statutory and the market conform valuation</t>
  </si>
  <si>
    <t>Differences between the statutory and the market conform value</t>
  </si>
  <si>
    <t>Gemäss Dokument Technische Beschreibung für das SST-Standardmodell Schadenversicherung / Technical description StandRe Abschnitt 8.3/ SST-Captives-Template Blatt CA_input_SST-Template</t>
  </si>
  <si>
    <r>
      <t xml:space="preserve">Selon le document </t>
    </r>
    <r>
      <rPr>
        <i/>
        <sz val="10"/>
        <color theme="1"/>
        <rFont val="Arial"/>
        <family val="2"/>
      </rPr>
      <t>Description technique du modèle standard SST assurance dommages</t>
    </r>
    <r>
      <rPr>
        <sz val="10"/>
        <color theme="1"/>
        <rFont val="Arial"/>
        <family val="2"/>
      </rPr>
      <t xml:space="preserve">/ </t>
    </r>
    <r>
      <rPr>
        <i/>
        <sz val="10"/>
        <color theme="1"/>
        <rFont val="Arial"/>
        <family val="2"/>
      </rPr>
      <t>Technical description StandRe</t>
    </r>
    <r>
      <rPr>
        <sz val="10"/>
        <color theme="1"/>
        <rFont val="Arial"/>
        <family val="2"/>
      </rPr>
      <t xml:space="preserve"> section 8.3/ SST-Captives-Template feuille CA_input_SST-Template</t>
    </r>
  </si>
  <si>
    <r>
      <t xml:space="preserve">According to </t>
    </r>
    <r>
      <rPr>
        <i/>
        <sz val="10"/>
        <color theme="1"/>
        <rFont val="Arial"/>
        <family val="2"/>
      </rPr>
      <t>Technische Beschreibung für das SST-Standardmodell Schadenversicherung</t>
    </r>
    <r>
      <rPr>
        <sz val="10"/>
        <color theme="1"/>
        <rFont val="Arial"/>
        <family val="2"/>
      </rPr>
      <t xml:space="preserve"> / </t>
    </r>
    <r>
      <rPr>
        <i/>
        <sz val="10"/>
        <color theme="1"/>
        <rFont val="Arial"/>
        <family val="2"/>
      </rPr>
      <t>Technical description StandRe</t>
    </r>
    <r>
      <rPr>
        <sz val="10"/>
        <color theme="1"/>
        <rFont val="Arial"/>
        <family val="2"/>
      </rPr>
      <t xml:space="preserve"> chapter 8.3 / SST-Captives-Template sheet CA_input_SST-Template</t>
    </r>
  </si>
  <si>
    <r>
      <t xml:space="preserve">Das </t>
    </r>
    <r>
      <rPr>
        <b/>
        <sz val="11"/>
        <rFont val="Arial"/>
        <family val="2"/>
      </rPr>
      <t xml:space="preserve">Tabellenblatt </t>
    </r>
    <r>
      <rPr>
        <b/>
        <i/>
        <sz val="11"/>
        <rFont val="Arial"/>
        <family val="2"/>
      </rPr>
      <t>Differences_Stat_SSTBalance</t>
    </r>
    <r>
      <rPr>
        <sz val="11"/>
        <rFont val="Arial"/>
        <family val="2"/>
      </rPr>
      <t xml:space="preserve"> dient dazu, Bewertungsdifferenzen zwischen statutarischer und SST-Bilanz aufzuzeigen. </t>
    </r>
  </si>
  <si>
    <t>Es dient der Plausibilisierung der Konsistenz zwischen statutarischer und SST-Bilanz und gibt Auskunft über stille Reserven.</t>
  </si>
  <si>
    <r>
      <rPr>
        <sz val="11"/>
        <color theme="1"/>
        <rFont val="Arial"/>
        <family val="2"/>
      </rPr>
      <t>L’</t>
    </r>
    <r>
      <rPr>
        <b/>
        <sz val="11"/>
        <color rgb="FF000000"/>
        <rFont val="Arial"/>
        <family val="2"/>
      </rPr>
      <t xml:space="preserve">onglet </t>
    </r>
    <r>
      <rPr>
        <b/>
        <i/>
        <sz val="11"/>
        <color rgb="FF000000"/>
        <rFont val="Arial"/>
        <family val="2"/>
      </rPr>
      <t>Differences_Stat_SSTBalance</t>
    </r>
    <r>
      <rPr>
        <sz val="11"/>
        <color rgb="FF000000"/>
        <rFont val="Arial"/>
        <family val="2"/>
      </rPr>
      <t xml:space="preserve"> a pour objectif de présenter les différences d’évaluation entre le bilan statutaire et le bilan SST. </t>
    </r>
  </si>
  <si>
    <t>Il vise à confirmer la cohérence entre le bilan statutaire et le bilan SST et renseigne sur les réserves latentes.</t>
  </si>
  <si>
    <r>
      <rPr>
        <sz val="11"/>
        <color theme="1"/>
        <rFont val="Arial"/>
        <family val="2"/>
      </rPr>
      <t xml:space="preserve">The </t>
    </r>
    <r>
      <rPr>
        <b/>
        <i/>
        <sz val="11"/>
        <color rgb="FF000000"/>
        <rFont val="Arial"/>
        <family val="2"/>
      </rPr>
      <t>Differences_Stat_SSTBalance</t>
    </r>
    <r>
      <rPr>
        <b/>
        <sz val="11"/>
        <color rgb="FF000000"/>
        <rFont val="Arial"/>
        <family val="2"/>
      </rPr>
      <t xml:space="preserve"> worksheet</t>
    </r>
    <r>
      <rPr>
        <sz val="11"/>
        <color rgb="FF000000"/>
        <rFont val="Arial"/>
        <family val="2"/>
      </rPr>
      <t xml:space="preserve"> is used for showing valuation differences between statutory and SST balance sheets. </t>
    </r>
  </si>
  <si>
    <t>It establishes the plausibility of the consistency between the statutory and the SST balance sheets and informs about hidden reserves.</t>
  </si>
  <si>
    <t>dynamische Sparte für "BE Tilde", "Chi" und "MVM"</t>
  </si>
  <si>
    <t>31.10.2024</t>
  </si>
  <si>
    <t xml:space="preserve">Receivables from insurance companies: ceded </t>
  </si>
  <si>
    <t>Receivables from insurance companies: assumed</t>
  </si>
  <si>
    <t>Anpasungen der SST-Bilanz gemäss Sitzung vom SVV am 20. Juni 2024</t>
  </si>
  <si>
    <t>Kommerzielle Liegenschaften</t>
  </si>
  <si>
    <t>Kommerzielle Liegenschaften: Inland</t>
  </si>
  <si>
    <t>Gemischtgenutzte Immobilien: Ausland</t>
  </si>
  <si>
    <t>Übrige Immobilien</t>
  </si>
  <si>
    <t>Direktversicherung: Schadenversicherungsgeschäft - verdientes Geschäft</t>
  </si>
  <si>
    <t>Aktive Rückversicherung (Schaden) - verdientes Geschäft</t>
  </si>
  <si>
    <t>Aktive Rückversicherung: Best Estimate der sonstigen Versicherungsverpflichtungen (Schaden)</t>
  </si>
  <si>
    <t>Immeubles d'habitation</t>
  </si>
  <si>
    <t>Residential properties</t>
  </si>
  <si>
    <t>Immeubles commerciaux</t>
  </si>
  <si>
    <t>Kommerzielle Liegenschaften: Ausland</t>
  </si>
  <si>
    <t>Other real estate</t>
  </si>
  <si>
    <t>Assurance directe : assurance dommages - affaires acquises</t>
  </si>
  <si>
    <t>Direct insurance: non-life insurance business - earned business</t>
  </si>
  <si>
    <t>Gemischtgenutzte Immobilien</t>
  </si>
  <si>
    <t>Immeubles avec utilisation mixte</t>
  </si>
  <si>
    <t>Mixed-use real estate</t>
  </si>
  <si>
    <t>Mixed-use real estate: abroad</t>
  </si>
  <si>
    <t>Anteil Rückversicherer (Schaden) am Überschussfonds</t>
  </si>
  <si>
    <t>Share of reinsurers (casuality) to the surplus funds</t>
  </si>
  <si>
    <t>Part des réassureurs (dommage) dans le fonds d'excédents</t>
  </si>
  <si>
    <t>Créances sur les preneurs d'assurance et intermédiaires d’assurance</t>
  </si>
  <si>
    <t>Receivables from policyholders and insurance intermediaries</t>
  </si>
  <si>
    <t>Sonstige Forderungen aus Versicherungs- und Rückversicherungstätigkeit</t>
  </si>
  <si>
    <t>Other receivables from insurance and reinsurance business</t>
  </si>
  <si>
    <t>Autres créances nées d'opérations d'assurance et de réassurance</t>
  </si>
  <si>
    <t>Autres dépôts</t>
  </si>
  <si>
    <t>Other deposit receivables</t>
  </si>
  <si>
    <t>Sonstige Depotforderungen</t>
  </si>
  <si>
    <t>2.1 Bestmöglicher Schätzwert der Versicherungsverpflichtungen</t>
  </si>
  <si>
    <t>2.1 Best estimate of insurance liabilities</t>
  </si>
  <si>
    <t>2.1 Valeur estimative la meilleure possible des engagements d’assurances</t>
  </si>
  <si>
    <t>Schwankungsrückstellungen und weitere statutarische Rückstellungen (Leben): Brutto</t>
  </si>
  <si>
    <t>Provisions de fluctuation et autres provisions statutaires (vie): brutes</t>
  </si>
  <si>
    <t>Best Estimate der Versicherungsverpflichtungen Einzelkranken (ADISD02100 - ADISD02400): Brutto</t>
  </si>
  <si>
    <t>Best estimate of insurance liabilities individual health insurance (ADISD02100 - ADISD02400): gross</t>
  </si>
  <si>
    <t>Best Estimate der Versicherungsverpflichtungen Kollektivtaggeld (ADISD02500): Brutto</t>
  </si>
  <si>
    <t>Best Estimate der Langzeitverpflichtungen (Kranken) (ADISD02100 - ADISD02400): Brutto</t>
  </si>
  <si>
    <t>Best estimate of long-term insurance liabilities (health) (ADISD02100 - ADISD02400): gross</t>
  </si>
  <si>
    <t>Schwankungsrückstellungen und weitere statutarische Rückstellungen (Schaden): Brutto</t>
  </si>
  <si>
    <t>Provisions de fluctuation et autres provisions statutaires (dommage): brutes</t>
  </si>
  <si>
    <t>Provisions de fluctuation et autres provisions statutaires (maladie): brutes</t>
  </si>
  <si>
    <t>Schwankungsrückstellungen und weitere statutarische Rückstellungen (Kranken): Brutto</t>
  </si>
  <si>
    <t>2.2 Bestmöglicher Schätzwert der Versicherungsverpflichtungen für anteilgebundene Lebensversicherung</t>
  </si>
  <si>
    <t>2.2 Best estimate of insurance liabilities for unit-linked life insurance</t>
  </si>
  <si>
    <t>Unbefristete nachrangige Verbindlichkeiten (ohne Abschreibungs- und Wandlungscharakter)</t>
  </si>
  <si>
    <t>Dettes subordonnées, à durée indéterminée (sans caractère d'amortissement ou de convertibilité)</t>
  </si>
  <si>
    <t>Unlimited subordinated debts (without write-off or convertible character)</t>
  </si>
  <si>
    <t>Andere unbefristete nachrangige Verbindlichkeiten (ohne Abschreibungs- und Wandlungscharakter)</t>
  </si>
  <si>
    <t>Autres dettes subordonnées, à durée indéterminée (sans caractère d'amortissement ou de convertibilité)</t>
  </si>
  <si>
    <t>Other unlimited subordinated debts (without write-off or convertible character)</t>
  </si>
  <si>
    <t>Unbefristete nachrangige Verbindlichkeiten - Abschreibungs- und Wandlungsinstrumente</t>
  </si>
  <si>
    <t>Unlimited subordinated debts - write-off or convertible</t>
  </si>
  <si>
    <t>Andere Abschreibungs- und Wandlungsinstrumente</t>
  </si>
  <si>
    <t>Other write-off and convertible instruments - non eligible under SST</t>
  </si>
  <si>
    <t>Befristete nachrangige Verbindlichkeiten</t>
  </si>
  <si>
    <t>Dettes subordonnées, à durée déterminée</t>
  </si>
  <si>
    <t>Limited subordinated debts</t>
  </si>
  <si>
    <t>Andere befristete nachrangige Verbindlichkeiten</t>
  </si>
  <si>
    <t>Autres dettes subordonnées, à durée déterminée</t>
  </si>
  <si>
    <t>Other limited subordinated debts</t>
  </si>
  <si>
    <t>T.06.212</t>
  </si>
  <si>
    <t>T.06.213</t>
  </si>
  <si>
    <t>T.06.214</t>
  </si>
  <si>
    <t>T.06.215</t>
  </si>
  <si>
    <t>T.06.216</t>
  </si>
  <si>
    <t>T.06.217</t>
  </si>
  <si>
    <t>T.06.218</t>
  </si>
  <si>
    <t>T.06.219</t>
  </si>
  <si>
    <t>Id EHP-AVO-Kontenplan</t>
  </si>
  <si>
    <t>Id EHP-AVO-Chart of accounts</t>
  </si>
  <si>
    <t>T.06.220</t>
  </si>
  <si>
    <t>T.06.221</t>
  </si>
  <si>
    <t>T.06.222</t>
  </si>
  <si>
    <t>103)</t>
  </si>
  <si>
    <t>104)</t>
  </si>
  <si>
    <t>T.06.223</t>
  </si>
  <si>
    <t>68)</t>
  </si>
  <si>
    <t xml:space="preserve">102200020 &amp; 102200030 </t>
  </si>
  <si>
    <t>102200060 &amp; 102200080 &amp; 102200090 &amp; 102200100 &amp; 102200110 &amp; 102200120 &amp; 102200130</t>
  </si>
  <si>
    <t>107000100 &amp; 107000300</t>
  </si>
  <si>
    <t>119)</t>
  </si>
  <si>
    <t>201'000'000</t>
  </si>
  <si>
    <t>20111010000 &amp; 201120100000 &amp; 201130100000</t>
  </si>
  <si>
    <t>201150100 &amp; 201150200 &amp; 201150300</t>
  </si>
  <si>
    <t>161)</t>
  </si>
  <si>
    <t>162)</t>
  </si>
  <si>
    <t>203000100 &amp; 203000300 &amp; 203100300</t>
  </si>
  <si>
    <t>207000000 - 207300200</t>
  </si>
  <si>
    <t>209000100 &amp; 209000200 &amp; 209000300 &amp; 209000500</t>
  </si>
  <si>
    <t>200)</t>
  </si>
  <si>
    <t>201)</t>
  </si>
  <si>
    <t>202)</t>
  </si>
  <si>
    <t>203)</t>
  </si>
  <si>
    <t>204)</t>
  </si>
  <si>
    <t>205)</t>
  </si>
  <si>
    <t>206)</t>
  </si>
  <si>
    <t>207)</t>
  </si>
  <si>
    <t>208)</t>
  </si>
  <si>
    <t>209)</t>
  </si>
  <si>
    <t>210)</t>
  </si>
  <si>
    <t>211)</t>
  </si>
  <si>
    <t>MCV-Kontonummer</t>
  </si>
  <si>
    <t>Numéro de compte MCV</t>
  </si>
  <si>
    <t>MCV-Account number</t>
  </si>
  <si>
    <t>220000000MCV</t>
  </si>
  <si>
    <t xml:space="preserve">Marktkonformer Wert </t>
  </si>
  <si>
    <t xml:space="preserve">Valeur conforme au marché </t>
  </si>
  <si>
    <t xml:space="preserve">Market conform value </t>
  </si>
  <si>
    <t>Aktive Rückversicherung: Best Estimate der Versicherungsverpflichtungen (Schaden) - verdientes Geschäft</t>
  </si>
  <si>
    <t>Aktive Rückversicherung: Best Estimate der Versicherungsverpflichtungen (Schaden) - unverdientes Geschäft</t>
  </si>
  <si>
    <t>Best Estimate der Versicherungsverpflichtungen (Schaden): Brutto - verdientes Geschäft</t>
  </si>
  <si>
    <t>Best Estimate der Versicherungsverpflichtungen (Schaden): Brutto - unverdientes Geschäft</t>
  </si>
  <si>
    <t>Best Estimate der Versicherungsverpflichtungen (Kranken): Brutto - verdientes Geschäft</t>
  </si>
  <si>
    <t>Best Estimate des unverdienten Geschäfts Kollektivtaggeld (ADISD02500): Brutto</t>
  </si>
  <si>
    <t>Aktive Rückversicherung (Schaden) - unverdientes Geschäft</t>
  </si>
  <si>
    <t>Direktversicherung: Schadenversicherungsgeschäft - unverdientes Geschäft</t>
  </si>
  <si>
    <t>Assurance directe : assurance dommages - affaires non acquises</t>
  </si>
  <si>
    <t>Direct insurance: non-life insurance business - unearned business</t>
  </si>
  <si>
    <t>Réassurance active (dommages) - affaires acquises</t>
  </si>
  <si>
    <t>Réassurance active (dommages) - affaires non acquises</t>
  </si>
  <si>
    <t>Active reinsurance (non-life) - earned business</t>
  </si>
  <si>
    <t>Active reinsurance (non-life) - unearned business</t>
  </si>
  <si>
    <t>Best estimate des engagements actuariels (dommages): brut - affaires acquises</t>
  </si>
  <si>
    <t>Best estimate of insurance liabilities (non-life): gross - earned business</t>
  </si>
  <si>
    <r>
      <t xml:space="preserve">dont </t>
    </r>
    <r>
      <rPr>
        <sz val="10"/>
        <color theme="1"/>
        <rFont val="Arial"/>
        <family val="2"/>
      </rPr>
      <t>Best estimate des engagements actuariels du portefeuille LAA</t>
    </r>
  </si>
  <si>
    <t>Best estimate des engagements actuariels (dommages): brut - affaires non acquises</t>
  </si>
  <si>
    <t>Best estimate of insurance liabilities (non-life): gross - unearned business</t>
  </si>
  <si>
    <t>Réassurance active: best estimate des engagements actuariels (dommages) - affaires acquises</t>
  </si>
  <si>
    <t>Réassurance active: best estimate des engagements actuariels (dommages) - affaires non acquises</t>
  </si>
  <si>
    <t>Réassurance active: best estimate des autres engagements actuariels (dommages)</t>
  </si>
  <si>
    <t>Best estimate des engagements actuariels (maladie): brut - affaires acquises</t>
  </si>
  <si>
    <t>Best estimate of insurance liabilities (health): gross - earned business</t>
  </si>
  <si>
    <t>Best estimate des engagements viagers (maladie) (ADISD02100 - ADISD02400): brut</t>
  </si>
  <si>
    <t xml:space="preserve">Best estimate des engagements actuariels en assurance-maladie individuelle (ADISD02100 - ADISD02400): brut </t>
  </si>
  <si>
    <t>Active reinsurance: best estimate of insurance liabilities (non-life) - earned business</t>
  </si>
  <si>
    <t>Active reinsurance: best estimate of insurance liabilities (non-life) - unearned business</t>
  </si>
  <si>
    <t>Active reinsurance: best estimate of other insurance liabilities (non-life)</t>
  </si>
  <si>
    <t>Autres instruments d'amortissement et de convertibilité</t>
  </si>
  <si>
    <t>Best estimate des engagements actuariels (vie): bruts</t>
  </si>
  <si>
    <t>Best estimate des autres engagements actuariels (vie): bruts</t>
  </si>
  <si>
    <t>Immeubles avec utilisation mixte: à l'étranger</t>
  </si>
  <si>
    <t>Assurance directe : assurance sur la vie (hors assurance sur la vie liée à des participations)</t>
  </si>
  <si>
    <t>Réassurance active : assurance sur la vie (hors assurance sur la vie liée à des participations)</t>
  </si>
  <si>
    <t>Assurance directe : assurance sur la vie liée à des participations</t>
  </si>
  <si>
    <t>Réassurance active : assurance sur la vie liée à des participations</t>
  </si>
  <si>
    <t>Best estimate des engagements actuariels en assurance collective d’indemnités journalières (ADISD02500): brut</t>
  </si>
  <si>
    <t>2.2 Valeur estimative la meilleure possible des engagements d’assurance sur la vie liée à des participations</t>
  </si>
  <si>
    <t>Réassurance active: Assurance sur la vie liée à des participations</t>
  </si>
  <si>
    <t>Active reinsurance: unit-linked life insurance business</t>
  </si>
  <si>
    <t>Dettes subordonnées, à durée indéterminée - amortissement ou convertibilité</t>
  </si>
  <si>
    <t>T.07.30</t>
  </si>
  <si>
    <t>Forderungen gegenüber Versicherungsnehmerinnen und Versicherungsnehmern, Vermittlerinnen und Vermittlern</t>
  </si>
  <si>
    <t>Commercial real estate: domestic</t>
  </si>
  <si>
    <t>Commercial real estate: abroad</t>
  </si>
  <si>
    <t>Tier 2 RAK - eligible under SST</t>
  </si>
  <si>
    <t>Tier 2 RAK - non eligible under SST</t>
  </si>
  <si>
    <t>Tier 1 RAK - Write-off instrument - eligible under SST</t>
  </si>
  <si>
    <t>Tier 1 RAK - Convertible instrument - eligible under SST</t>
  </si>
  <si>
    <t>Tier 1 RAK - Write-off and convertible instrument - non eligible under SST</t>
  </si>
  <si>
    <t>Tier 2-RAK - im SST angerechnet</t>
  </si>
  <si>
    <t>Tier 2-RAK - im SST nicht angerechnet</t>
  </si>
  <si>
    <t>Tier 1-RAK - Abschreibungsinstrument - im SST angerechnet</t>
  </si>
  <si>
    <t>Tier 1-RAK - Wandlungsinstrument - im SST angerechnet</t>
  </si>
  <si>
    <t>Tier 1-RAK - Abschreibungs- und Wandlungsinstrument - im SST nicht angerechnet</t>
  </si>
  <si>
    <t>Discounted nominal value of risk-absorbing capital instruments (RAK) counted towards risk bearing capital (RBC) - with remaining maturity =&lt; 12 months</t>
  </si>
  <si>
    <t>La valeur nominale actuelle des ces instruments doit être incluse dans le capital cible en tant que remboursement. Dans la monnaie du SST. Il est également possible de renoncer à la prise en compte de ces RAK dans le CPR. Dans ce cas, la cellule D8 doit être laissée vide.</t>
  </si>
  <si>
    <t>The discounted nominal value of these instruments is to be included in the target capital as repayment. In SST currency. Alternatively, the inclusion of these RAK in the RBC can be waived. In this case, cell D8 is to be left blank.</t>
  </si>
  <si>
    <t>Best estimate of insurance liabilities collective daily allowance (ADISD02500): gross</t>
  </si>
  <si>
    <t>Best estimate of unearned collective daily allowance (ADISD02500): gross</t>
  </si>
  <si>
    <t>Sector</t>
  </si>
  <si>
    <r>
      <t xml:space="preserve">According to </t>
    </r>
    <r>
      <rPr>
        <i/>
        <sz val="10"/>
        <color theme="1"/>
        <rFont val="Arial"/>
        <family val="2"/>
      </rPr>
      <t>the technical description of the specific sector. For life insurers the expected insurance result = 0.</t>
    </r>
  </si>
  <si>
    <t>Valeur nominale actuelle des instruments de capital amortisseurs de risque (RAK) imputés au capital porteur de risques (CPR) - avec échéance résiduelle =&lt; 12 mois</t>
  </si>
  <si>
    <t>RAK de tier 2 - imputé dans le SST</t>
  </si>
  <si>
    <t>RAK de tier 2 - non imputé dans le SST</t>
  </si>
  <si>
    <t>RAK de tier 1 - Instrument d'amortissement et de convertibilité - non imputé dans le SST</t>
  </si>
  <si>
    <t xml:space="preserve">Best estimate des affaires non acquises en assurance collective d'indemnités journalières (ADISD02500): brut </t>
  </si>
  <si>
    <r>
      <t xml:space="preserve">Selon le document </t>
    </r>
    <r>
      <rPr>
        <i/>
        <sz val="10"/>
        <color theme="1"/>
        <rFont val="Arial"/>
        <family val="2"/>
      </rPr>
      <t xml:space="preserve">Description technique du modèle standard SST assurance dommages </t>
    </r>
    <r>
      <rPr>
        <sz val="10"/>
        <color theme="1"/>
        <rFont val="Arial"/>
        <family val="2"/>
      </rPr>
      <t xml:space="preserve">/ </t>
    </r>
    <r>
      <rPr>
        <i/>
        <sz val="10"/>
        <color theme="1"/>
        <rFont val="Arial"/>
        <family val="2"/>
      </rPr>
      <t>Technical description StandR</t>
    </r>
    <r>
      <rPr>
        <sz val="10"/>
        <color theme="1"/>
        <rFont val="Arial"/>
        <family val="2"/>
      </rPr>
      <t>e section 8.3 / SST-Captive-Template feuille CA_input_SST-Template</t>
    </r>
  </si>
  <si>
    <t>Créances sur des compagnies d'assurance: cédées</t>
  </si>
  <si>
    <t>Créances sur des compagnies d'assurance: acceptées</t>
  </si>
  <si>
    <t>Best estimate des autres engagements actuariels (dommages): brut</t>
  </si>
  <si>
    <t>Provisions pour parts d'excédents contractuels (dommages): brutes</t>
  </si>
  <si>
    <t>Provisions pour fonds d'excédents (dommages): brutes</t>
  </si>
  <si>
    <t>RAK de tier 1 - Instrument d'amortissement - imputé dans le SST</t>
  </si>
  <si>
    <t>RAK de tier 1 - Instrument de convertibilité - imputé dans le SST</t>
  </si>
  <si>
    <t>T.05.32</t>
  </si>
  <si>
    <t>T.05.33</t>
  </si>
  <si>
    <t>T.05.34</t>
  </si>
  <si>
    <t>T.05.35</t>
  </si>
  <si>
    <t>Kapitalkostenrückstellung für die aktuelle Einjahresperiode im Mindestbetrag</t>
  </si>
  <si>
    <t>Kapitalkostenrückstellung für die aktuelle Einjahresperiode automatisch berechnen</t>
  </si>
  <si>
    <t>Automatically calculate capital cost provision for the current one-year period</t>
  </si>
  <si>
    <t>Calcul automatique de la provision pour coûts de capital pour la période d'un an en cours</t>
  </si>
  <si>
    <t>Berücksichtigung der Einjahresänderung des Mindestbetrags im Zielkapital</t>
  </si>
  <si>
    <t>Prise en compte de la variation sur un an du montant minimum dans le capital cible</t>
  </si>
  <si>
    <t>Inclusion of the one-year change in the minimum amount in the target capital</t>
  </si>
  <si>
    <t>Provision pour coûts en capital pour la période d'un an en cours dans le montant minimum</t>
  </si>
  <si>
    <t>Provision for capital costs for the current one-year period in the minimum amount</t>
  </si>
  <si>
    <t>Option manuelle Eingabe, für Hintergrund siehe Dokument Technische Beschreibung Standardmodell Aggregation und Mindestbetrag, Abschnitt 6.</t>
  </si>
  <si>
    <t>Manual input option, for background see document Technical description standard model aggregation and minimum amount, section 6.</t>
  </si>
  <si>
    <t>Option de saisie manuelle, pour le contexte, voir le document Description technique du modèle standard Agrégation et montant minimum, section 6.</t>
  </si>
  <si>
    <t>Bei "Yes" wird die Eingabe der Kapitalkostenrückstellung im Feld D9 überschrieben. Automatische Berechnung gemäss Standardmethode aus dem Dokument Technische Beschreibung Standardmodell Aggregation und Mindestbetrag, Abschnitt 6.4 (Opt-In SST 2025).</t>
  </si>
  <si>
    <t>Si « Yes », la saisie de la provision pour coûts de capital dans le champ D9 est ignorée. Calcul automatique selon la méthode standard du document Description technique du modèle standard Agrégation et montant minimum, section 6.4 (Opt-In SST 2025).</t>
  </si>
  <si>
    <t>If ‘Yes’, the entry for the capital cost provision in field D9 is overwritten. Automatic calculation according to the standard method from the document Technical description standard model aggregation and minimum amount, section 6.4 (Opt-In SST 2025).</t>
  </si>
  <si>
    <t>Automatische Berechnung gemäss definierter Anpassung aus dem Dokument Technische Beschreibung Standardmodell Aggregation und Mindestbetrag, Abschnitt 6.6.</t>
  </si>
  <si>
    <t>Automatic calculation according to defined adaptation from the document Technical description standard model aggregation and minimum amount, section 6.6.</t>
  </si>
  <si>
    <t>Calcul automatique selon adaptation définie dans le document Description technique du modèle standard Agrégation et montant minimum, section 6.6.</t>
  </si>
  <si>
    <t>DE</t>
  </si>
  <si>
    <t>Id EHP-OS-Plan comptable</t>
  </si>
  <si>
    <t>en % du total des actifs</t>
  </si>
  <si>
    <t>Immeubles d'habitation: en Suisse</t>
  </si>
  <si>
    <t>Wohnimmobilien: Ausland</t>
  </si>
  <si>
    <t>Immeubles commerciaux: en Suisse</t>
  </si>
  <si>
    <t>Immeubles commerciaux: à l'étranger</t>
  </si>
  <si>
    <t>Immeubles avec utilisation mixte: en Suisse</t>
  </si>
  <si>
    <t>Active reinsurance: non-life insurance business</t>
  </si>
  <si>
    <t>Active reinsurance: life insurance business (excluding unit linked life insurance)</t>
  </si>
  <si>
    <t>SST-Participation-Template</t>
  </si>
  <si>
    <t>SST Participation Template</t>
  </si>
  <si>
    <t>SST Balance Sheet BVG</t>
  </si>
  <si>
    <t>tax rate</t>
  </si>
  <si>
    <t>SST Currency</t>
  </si>
  <si>
    <t>Lookthrough Methodik</t>
  </si>
  <si>
    <t>Lookthrough Methodology</t>
  </si>
  <si>
    <t>SST Net Assets</t>
  </si>
  <si>
    <t>Überschussfonds Gesamtgeschäft</t>
  </si>
  <si>
    <t>Surplus Funds Total Business</t>
  </si>
  <si>
    <t>davon fest zugeteilter Teil</t>
  </si>
  <si>
    <t>shared part of Surplus Funds</t>
  </si>
  <si>
    <t>unrealisierte Gewinne / Verluste auf Kapitalanlagen BVG</t>
  </si>
  <si>
    <t>unrealised gains / losses on investments BVG</t>
  </si>
  <si>
    <t>unrealisierte Gewinne / Verluste auf Versicherungsverpflichtungen BVG</t>
  </si>
  <si>
    <t>unrealised gains / losses on insurance liabilities BVG</t>
  </si>
  <si>
    <t>Legal Quote</t>
  </si>
  <si>
    <t>legal quote</t>
  </si>
  <si>
    <t>BVG Term</t>
  </si>
  <si>
    <t>BVG term</t>
  </si>
  <si>
    <t>Barwert zukünftiger Überschüsse - Barwert fest zugesagter Überschüsse</t>
  </si>
  <si>
    <t>PV of future cashflows - PV of fixed cashflows</t>
  </si>
  <si>
    <t>Beteiligungswert vor Steuern</t>
  </si>
  <si>
    <t>participation value before tax</t>
  </si>
  <si>
    <t>Eigenkapital nach OR</t>
  </si>
  <si>
    <t>own funds according OR</t>
  </si>
  <si>
    <t>Steuersatz</t>
  </si>
  <si>
    <t>Steuerabzug</t>
  </si>
  <si>
    <t>tax subtraction</t>
  </si>
  <si>
    <t>Wert einer SST-pflichtigen Beteiligung aus Transferperspektive</t>
  </si>
  <si>
    <t>participation value from transfer perspective</t>
  </si>
  <si>
    <t>Beteiligungsanteil</t>
  </si>
  <si>
    <t>participation share</t>
  </si>
  <si>
    <t>participation value</t>
  </si>
  <si>
    <t>scaling factor</t>
  </si>
  <si>
    <t>apply the LLPO</t>
  </si>
  <si>
    <t>gemäss Technische Beschreibung Standardmodell Beteiligungen</t>
  </si>
  <si>
    <t>according to Technische Beschreibung Standardmodell Beteiligungen</t>
  </si>
  <si>
    <t>Summe aller Beteiligungswerte</t>
  </si>
  <si>
    <t>sum of all participation values</t>
  </si>
  <si>
    <t>Summe aller erwarteten Dividenden</t>
  </si>
  <si>
    <t>sum of all expected dividends</t>
  </si>
  <si>
    <t>in die SST-Bilanz der Mutter einzukopieren</t>
  </si>
  <si>
    <t>to be copied into the SST Balance Sheet of the mother</t>
  </si>
  <si>
    <t>in das erwartete Finanzergebnis der Mutter einzukopieren</t>
  </si>
  <si>
    <t>to be copied into the expected financial result of the mother</t>
  </si>
  <si>
    <t>erwartete Dividende</t>
  </si>
  <si>
    <t>expected dividend</t>
  </si>
  <si>
    <t>in das Blatt Intro der Mutter einzukopieren</t>
  </si>
  <si>
    <t>to be copied into the Sheet Intro of the mother</t>
  </si>
  <si>
    <t>Inputs für die SST-Templates</t>
  </si>
  <si>
    <t>Inputs for the SST-Templates</t>
  </si>
  <si>
    <t>Position</t>
  </si>
  <si>
    <t>Term</t>
  </si>
  <si>
    <t>Tochter 1 mit BVG-Geschäft</t>
  </si>
  <si>
    <t>Tochter 2</t>
  </si>
  <si>
    <t>Mutter</t>
  </si>
  <si>
    <t>Modifizierte Skalierung</t>
  </si>
  <si>
    <t>Skalierung</t>
  </si>
  <si>
    <t>SSTNettoaktiven</t>
  </si>
  <si>
    <t>Üfonds</t>
  </si>
  <si>
    <t>verspÜ</t>
  </si>
  <si>
    <t>UCGL</t>
  </si>
  <si>
    <t>L - Res</t>
  </si>
  <si>
    <t>LQ</t>
  </si>
  <si>
    <t>LQ * Max(UCGL - (L - Res), 0)</t>
  </si>
  <si>
    <t>PVÜ</t>
  </si>
  <si>
    <t>SSTNettoaktiven - PVÜ</t>
  </si>
  <si>
    <t>EK nach OR</t>
  </si>
  <si>
    <t>ST</t>
  </si>
  <si>
    <t>SSTNettoaktiven - PVÜ- ST</t>
  </si>
  <si>
    <t>Yes</t>
  </si>
  <si>
    <t>No</t>
  </si>
  <si>
    <t>verspÜ-Üfonds</t>
  </si>
  <si>
    <t>L-Res</t>
  </si>
  <si>
    <t>Participation Inputs</t>
  </si>
  <si>
    <t>Nachführen der Links auf SST Balance Sheet BVG</t>
  </si>
  <si>
    <t>SST-Bilanz für das BVG-Geschäft</t>
  </si>
  <si>
    <t>SST Balance sheet for the BVG Business</t>
  </si>
  <si>
    <t>Anleitung für das Tabellenblatt 5</t>
  </si>
  <si>
    <t>Indications pour l'onglet 5</t>
  </si>
  <si>
    <t>Instructions for the worksheet 5</t>
  </si>
  <si>
    <t>In der Spalte M dürfen nur noch effektive Bewertungsdifferenzen aufgeführt sein. Diese werden mittels der im Blatt 4 „SST Balance Sheet“ eingegebenen marktkonformen Werte automatisch berechnet.</t>
  </si>
  <si>
    <r>
      <rPr>
        <sz val="11"/>
        <color theme="1"/>
        <rFont val="Arial"/>
        <family val="2"/>
      </rPr>
      <t xml:space="preserve">Seules les différences d’évaluation effectives peuvent encore être citées dans la colonne M. Elles sont automatiquement calculées à l’aide des valeurs conforme au marché inscrites dans l’onglet 4 </t>
    </r>
    <r>
      <rPr>
        <i/>
        <sz val="11"/>
        <color rgb="FF000000"/>
        <rFont val="Arial"/>
        <family val="2"/>
      </rPr>
      <t>SST Balance Sheet</t>
    </r>
    <r>
      <rPr>
        <sz val="11"/>
        <color theme="1"/>
        <rFont val="Arial"/>
        <family val="2"/>
      </rPr>
      <t>.</t>
    </r>
  </si>
  <si>
    <r>
      <rPr>
        <sz val="11"/>
        <color theme="1"/>
        <rFont val="Arial"/>
        <family val="2"/>
      </rPr>
      <t xml:space="preserve">Column M now may include only effective valuation differences, which are calculated automatically based on the market conform values entered in Sheet 4 of </t>
    </r>
    <r>
      <rPr>
        <i/>
        <sz val="11"/>
        <color rgb="FF000000"/>
        <rFont val="Arial"/>
        <family val="2"/>
      </rPr>
      <t>SST Balance Sheet</t>
    </r>
    <r>
      <rPr>
        <sz val="11"/>
        <color rgb="FF000000"/>
        <rFont val="Arial"/>
        <family val="2"/>
      </rPr>
      <t>.</t>
    </r>
  </si>
  <si>
    <t>M</t>
  </si>
  <si>
    <t>In der Spalte H wird die Zeilennummer der Zelle angegeben, in welche eine Bilanzposition ganz oder teilweise umgelegt werden soll.</t>
  </si>
  <si>
    <t>Spalte I</t>
  </si>
  <si>
    <t>In der Spalte I wird der Betrag angegeben, der auf die in der Spalte G genannte Zeile umgelegt werden soll.</t>
  </si>
  <si>
    <t>La colonne H indique le numéro de ligne de la cellule dans laquelle un poste du bilan doit être entièrement ou partiellement transféré.</t>
  </si>
  <si>
    <t>Colonne I</t>
  </si>
  <si>
    <t>La colonne I indique le montant qui doit être affecté à la ligne citée dans la colonne G.</t>
  </si>
  <si>
    <t>Column H shows the row number of the cell to which a balance sheet item is to be fully or partially allocated.</t>
  </si>
  <si>
    <t>Column I</t>
  </si>
  <si>
    <t>Column I shows the amount to be allocated to the row indicated in Column G.</t>
  </si>
  <si>
    <t>N</t>
  </si>
  <si>
    <t>Spalte K</t>
  </si>
  <si>
    <r>
      <t xml:space="preserve">Die Spalte K ist zu benützen, wenn eine Bilanzposition auf </t>
    </r>
    <r>
      <rPr>
        <u/>
        <sz val="11"/>
        <rFont val="Arial"/>
        <family val="2"/>
      </rPr>
      <t>mehrere</t>
    </r>
    <r>
      <rPr>
        <sz val="11"/>
        <rFont val="Arial"/>
        <family val="2"/>
      </rPr>
      <t xml:space="preserve"> neue statutarische Positionen aufgegliedert werden soll. In diesem Fall ist im SST-Bericht zusätzlich detailliert zu beschreiben, wie die Aufgliederung erfolgte.</t>
    </r>
  </si>
  <si>
    <t>Colonne K</t>
  </si>
  <si>
    <r>
      <rPr>
        <sz val="11"/>
        <color theme="1"/>
        <rFont val="Arial"/>
        <family val="2"/>
      </rPr>
      <t xml:space="preserve">La colonne K doit être utilisée lorsqu’un poste du bilan doit être ventilé entre </t>
    </r>
    <r>
      <rPr>
        <u/>
        <sz val="11"/>
        <color theme="1"/>
        <rFont val="Arial"/>
        <family val="2"/>
      </rPr>
      <t>plusieurs</t>
    </r>
    <r>
      <rPr>
        <sz val="11"/>
        <color theme="1"/>
        <rFont val="Arial"/>
        <family val="2"/>
      </rPr>
      <t xml:space="preserve"> nouveaux postes statutaires.</t>
    </r>
    <r>
      <rPr>
        <sz val="11"/>
        <color rgb="FF000000"/>
        <rFont val="Arial"/>
        <family val="2"/>
      </rPr>
      <t xml:space="preserve"> Dans ce cas, une description détaillée des modalités de la ventilation doit par ailleurs être fournie dans le rapport SST.</t>
    </r>
  </si>
  <si>
    <t>Column K</t>
  </si>
  <si>
    <r>
      <rPr>
        <sz val="11"/>
        <color theme="1"/>
        <rFont val="Arial"/>
        <family val="2"/>
      </rPr>
      <t xml:space="preserve">Column K is to be used for breaking down a balance sheet item into </t>
    </r>
    <r>
      <rPr>
        <u/>
        <sz val="11"/>
        <color theme="1"/>
        <rFont val="Arial"/>
        <family val="2"/>
      </rPr>
      <t>several</t>
    </r>
    <r>
      <rPr>
        <sz val="11"/>
        <color theme="1"/>
        <rFont val="Arial"/>
        <family val="2"/>
      </rPr>
      <t xml:space="preserve"> new statutory positions.</t>
    </r>
    <r>
      <rPr>
        <sz val="11"/>
        <color rgb="FF000000"/>
        <rFont val="Arial"/>
        <family val="2"/>
      </rPr>
      <t xml:space="preserve"> In this case, the SST report must also describe in detail how the breakdown was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</si>
</sst>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 _€_-;\-* #,##0.00\ _€_-;_-* &quot;-&quot;??\ _€_-;_-@_-"/>
    <numFmt numFmtId="165" formatCode="d/mm/yy;@"/>
    <numFmt numFmtId="166" formatCode="dd/mmm/yyyy"/>
    <numFmt numFmtId="167" formatCode="dd/mm/yyyy;@"/>
    <numFmt numFmtId="168" formatCode="&quot;+&quot;;&quot;-&quot;;"/>
  </numFmts>
  <fonts count="11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1"/>
      <name val="Calibri"/>
      <family val="2"/>
      <scheme val="minor"/>
    </font>
    <font>
      <sz val="10"/>
      <color theme="0"/>
      <name val="Arial"/>
      <family val="2"/>
    </font>
    <font>
      <b/>
      <sz val="10"/>
      <color rgb="FF212121"/>
      <name val="Arial"/>
      <family val="2"/>
    </font>
    <font>
      <sz val="11"/>
      <color theme="1"/>
      <name val="Calibri"/>
      <family val="2"/>
      <scheme val="minor"/>
    </font>
    <font>
      <sz val="10"/>
      <name val="Arial"/>
      <family val="2"/>
    </font>
    <font>
      <sz val="10"/>
      <color rgb="FF3F3F76"/>
      <name val="Arial"/>
      <family val="2"/>
    </font>
    <font>
      <b/>
      <sz val="10"/>
      <color rgb="FF3F3F3F"/>
      <name val="Arial"/>
      <family val="2"/>
    </font>
    <font>
      <sz val="11"/>
      <color theme="1"/>
      <name val="Arial"/>
      <family val="2"/>
    </font>
    <font>
      <u/>
      <sz val="11"/>
      <color theme="10"/>
      <name val="Calibri"/>
      <family val="2"/>
      <scheme val="minor"/>
    </font>
    <font>
      <i/>
      <sz val="10"/>
      <name val="Arial"/>
      <family val="2"/>
    </font>
    <font>
      <b/>
      <sz val="16"/>
      <color rgb="FF002D64"/>
      <name val="Arial"/>
      <family val="2"/>
    </font>
    <font>
      <i/>
      <sz val="10"/>
      <color theme="1"/>
      <name val="Arial"/>
      <family val="2"/>
    </font>
    <font>
      <b/>
      <sz val="10"/>
      <color rgb="FF002060"/>
      <name val="Arial"/>
      <family val="2"/>
    </font>
    <font>
      <b/>
      <sz val="10"/>
      <color indexed="9"/>
      <name val="Arial"/>
      <family val="2"/>
    </font>
    <font>
      <b/>
      <sz val="10"/>
      <name val="Arial"/>
      <family val="2"/>
    </font>
    <font>
      <b/>
      <sz val="16"/>
      <name val="Arial"/>
      <family val="2"/>
    </font>
    <font>
      <b/>
      <sz val="12"/>
      <name val="Arial"/>
      <family val="2"/>
    </font>
    <font>
      <sz val="16"/>
      <color indexed="9"/>
      <name val="Arial"/>
      <family val="2"/>
    </font>
    <font>
      <sz val="11"/>
      <name val="Arial"/>
      <family val="2"/>
    </font>
    <font>
      <b/>
      <sz val="11"/>
      <name val="Arial"/>
      <family val="2"/>
    </font>
    <font>
      <u/>
      <sz val="11"/>
      <name val="Arial"/>
      <family val="2"/>
    </font>
    <font>
      <b/>
      <sz val="11"/>
      <color indexed="10"/>
      <name val="Arial"/>
      <family val="2"/>
    </font>
    <font>
      <sz val="11"/>
      <color indexed="12"/>
      <name val="Arial"/>
      <family val="2"/>
    </font>
    <font>
      <b/>
      <i/>
      <sz val="11"/>
      <name val="Arial"/>
      <family val="2"/>
    </font>
    <font>
      <b/>
      <i/>
      <sz val="11"/>
      <color rgb="FF000000"/>
      <name val="Arial"/>
      <family val="2"/>
    </font>
    <font>
      <b/>
      <sz val="11"/>
      <color rgb="FF000000"/>
      <name val="Arial"/>
      <family val="2"/>
    </font>
    <font>
      <sz val="11"/>
      <color rgb="FF000000"/>
      <name val="Arial"/>
      <family val="2"/>
    </font>
    <font>
      <i/>
      <sz val="11"/>
      <color rgb="FF000000"/>
      <name val="Arial"/>
      <family val="2"/>
    </font>
    <font>
      <u/>
      <sz val="11"/>
      <color rgb="FF000000"/>
      <name val="Arial"/>
      <family val="2"/>
    </font>
    <font>
      <u/>
      <sz val="11"/>
      <color theme="1"/>
      <name val="Arial"/>
      <family val="2"/>
    </font>
    <font>
      <b/>
      <sz val="11"/>
      <color theme="1"/>
      <name val="Arial"/>
      <family val="2"/>
    </font>
    <font>
      <b/>
      <i/>
      <u/>
      <sz val="11"/>
      <name val="Arial"/>
      <family val="2"/>
    </font>
    <font>
      <sz val="10"/>
      <color rgb="FF000000"/>
      <name val="Arial"/>
      <family val="2"/>
    </font>
    <font>
      <sz val="10"/>
      <color theme="1"/>
      <name val="Calibri"/>
      <family val="2"/>
      <scheme val="minor"/>
    </font>
    <font>
      <sz val="8"/>
      <name val="Calibri"/>
      <family val="2"/>
      <scheme val="minor"/>
    </font>
    <font>
      <strike/>
      <sz val="10"/>
      <name val="Arial"/>
      <family val="2"/>
    </font>
    <font>
      <sz val="10"/>
      <color rgb="FFFF0000"/>
      <name val="Arial"/>
      <family val="2"/>
    </font>
    <font>
      <b/>
      <sz val="16"/>
      <color rgb="FF002060"/>
      <name val="Arial"/>
      <family val="2"/>
    </font>
    <font>
      <b/>
      <sz val="10"/>
      <color rgb="FF002D64"/>
      <name val="Arial"/>
      <family val="2"/>
    </font>
    <font>
      <b/>
      <sz val="10"/>
      <color rgb="FFFF0000"/>
      <name val="Arial"/>
      <family val="2"/>
    </font>
    <font>
      <strike/>
      <sz val="10"/>
      <color rgb="FFFF0000"/>
      <name val="Arial"/>
      <family val="2"/>
    </font>
    <font>
      <i/>
      <sz val="10"/>
      <color rgb="FFFF0000"/>
      <name val="Arial"/>
      <family val="2"/>
    </font>
    <font>
      <sz val="10"/>
      <color rgb="FF00B050"/>
      <name val="Arial"/>
      <family val="2"/>
    </font>
    <font>
      <strike/>
      <sz val="10"/>
      <color rgb="FF00B050"/>
      <name val="Arial"/>
      <family val="2"/>
    </font>
    <font>
      <i/>
      <sz val="10"/>
      <color rgb="FF00B050"/>
      <name val="Arial"/>
      <family val="2"/>
    </font>
    <font>
      <sz val="11"/>
      <color rgb="FFFF0000"/>
      <name val="Calibri"/>
      <family val="2"/>
      <scheme val="minor"/>
    </font>
  </fonts>
  <fills count="16">
    <fill>
      <patternFill patternType="none"/>
    </fill>
    <fill>
      <patternFill patternType="gray125"/>
    </fill>
    <fill>
      <patternFill patternType="solid">
        <fgColor rgb="FFD4ECF9"/>
        <bgColor indexed="64"/>
      </patternFill>
    </fill>
    <fill>
      <patternFill patternType="solid">
        <fgColor rgb="FFFFCC99"/>
      </patternFill>
    </fill>
    <fill>
      <patternFill patternType="solid">
        <fgColor rgb="FFF2F2F2"/>
      </patternFill>
    </fill>
    <fill>
      <patternFill patternType="solid">
        <fgColor indexed="9"/>
        <bgColor indexed="64"/>
      </patternFill>
    </fill>
    <fill>
      <patternFill patternType="solid">
        <fgColor rgb="FF00539E"/>
        <bgColor indexed="64"/>
      </patternFill>
    </fill>
    <fill>
      <patternFill patternType="solid">
        <fgColor rgb="FFFDE2CE"/>
        <bgColor indexed="64"/>
      </patternFill>
    </fill>
    <fill>
      <patternFill patternType="solid">
        <fgColor rgb="FFFAD6BF"/>
        <bgColor indexed="64"/>
      </patternFill>
    </fill>
    <fill>
      <patternFill patternType="solid">
        <fgColor indexed="47"/>
        <bgColor indexed="64"/>
      </patternFill>
    </fill>
    <fill>
      <patternFill patternType="solid">
        <fgColor rgb="FF002D64"/>
        <bgColor indexed="64"/>
      </patternFill>
    </fill>
    <fill>
      <patternFill patternType="lightGray">
        <bgColor rgb="FFFDE2CE"/>
      </patternFill>
    </fill>
    <fill>
      <patternFill patternType="lightGray"/>
    </fill>
    <fill>
      <patternFill patternType="solid">
        <fgColor rgb="FF92D050"/>
        <bgColor indexed="64"/>
      </patternFill>
    </fill>
    <fill>
      <patternFill patternType="solid">
        <fgColor theme="0" tint="-0.249977111117893"/>
        <bgColor indexed="64"/>
      </patternFill>
    </fill>
    <fill>
      <patternFill patternType="lightGray">
        <bgColor theme="0" tint="-0.249977111117893"/>
      </patternFill>
    </fill>
  </fills>
  <borders count="48">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bottom style="thin">
        <color theme="0" tint="-0.24994659260841701"/>
      </bottom>
      <diagonal/>
    </border>
    <border>
      <left/>
      <right/>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right/>
      <top/>
      <bottom style="thin">
        <color auto="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style="thin">
        <color theme="0" tint="-0.24994659260841701"/>
      </top>
      <bottom/>
      <diagonal/>
    </border>
    <border>
      <left style="thin">
        <color theme="0"/>
      </left>
      <right style="thin">
        <color theme="0"/>
      </right>
      <top style="thin">
        <color theme="0"/>
      </top>
      <bottom style="thin">
        <color auto="1"/>
      </bottom>
      <diagonal/>
    </border>
    <border>
      <left/>
      <right style="thin">
        <color theme="0"/>
      </right>
      <top style="thin">
        <color theme="0"/>
      </top>
      <bottom style="thin">
        <color theme="0" tint="-0.24994659260841701"/>
      </bottom>
      <diagonal/>
    </border>
    <border>
      <left/>
      <right style="thin">
        <color theme="0"/>
      </right>
      <top style="thin">
        <color theme="0" tint="-0.24994659260841701"/>
      </top>
      <bottom style="thin">
        <color auto="1"/>
      </bottom>
      <diagonal/>
    </border>
    <border>
      <left/>
      <right style="thin">
        <color theme="0"/>
      </right>
      <top style="thin">
        <color theme="0"/>
      </top>
      <bottom style="thin">
        <color auto="1"/>
      </bottom>
      <diagonal/>
    </border>
    <border>
      <left/>
      <right/>
      <top style="thin">
        <color theme="0"/>
      </top>
      <bottom style="thin">
        <color theme="0" tint="-0.24994659260841701"/>
      </bottom>
      <diagonal/>
    </border>
    <border>
      <left style="thin">
        <color theme="0"/>
      </left>
      <right style="thin">
        <color theme="0"/>
      </right>
      <top/>
      <bottom style="thin">
        <color auto="1"/>
      </bottom>
      <diagonal/>
    </border>
    <border>
      <left style="thin">
        <color theme="0"/>
      </left>
      <right style="thin">
        <color theme="0"/>
      </right>
      <top style="thin">
        <color theme="0" tint="-0.24994659260841701"/>
      </top>
      <bottom style="thin">
        <color auto="1"/>
      </bottom>
      <diagonal/>
    </border>
    <border>
      <left style="thin">
        <color theme="0"/>
      </left>
      <right style="thin">
        <color theme="0"/>
      </right>
      <top/>
      <bottom style="thin">
        <color theme="0" tint="-0.24994659260841701"/>
      </bottom>
      <diagonal/>
    </border>
    <border>
      <left/>
      <right/>
      <top style="hair">
        <color theme="0" tint="-0.24994659260841701"/>
      </top>
      <bottom style="hair">
        <color theme="0" tint="-0.24994659260841701"/>
      </bottom>
      <diagonal/>
    </border>
    <border>
      <left/>
      <right style="thin">
        <color theme="0"/>
      </right>
      <top style="thin">
        <color theme="0" tint="-0.24994659260841701"/>
      </top>
      <bottom/>
      <diagonal/>
    </border>
    <border>
      <left/>
      <right/>
      <top style="thin">
        <color theme="0" tint="-0.24994659260841701"/>
      </top>
      <bottom style="thin">
        <color theme="0"/>
      </bottom>
      <diagonal/>
    </border>
    <border>
      <left style="hair">
        <color theme="0"/>
      </left>
      <right style="hair">
        <color theme="0"/>
      </right>
      <top/>
      <bottom style="hair">
        <color theme="0"/>
      </bottom>
      <diagonal/>
    </border>
    <border>
      <left/>
      <right/>
      <top style="thin">
        <color auto="1"/>
      </top>
      <bottom/>
      <diagonal/>
    </border>
    <border>
      <left style="hair">
        <color theme="0"/>
      </left>
      <right style="hair">
        <color theme="0"/>
      </right>
      <top/>
      <bottom/>
      <diagonal/>
    </border>
    <border>
      <left style="thin">
        <color theme="0"/>
      </left>
      <right style="thin">
        <color theme="0"/>
      </right>
      <top style="thin">
        <color theme="0" tint="-0.24994659260841701"/>
      </top>
      <bottom/>
      <diagonal/>
    </border>
    <border>
      <left style="thin">
        <color theme="0"/>
      </left>
      <right/>
      <top style="thin">
        <color theme="0"/>
      </top>
      <bottom style="thin">
        <color auto="1"/>
      </bottom>
      <diagonal/>
    </border>
    <border>
      <left style="thin">
        <color theme="0"/>
      </left>
      <right style="thin">
        <color theme="0"/>
      </right>
      <top style="thin">
        <color theme="0" tint="-0.24994659260841701"/>
      </top>
      <bottom style="thin">
        <color theme="0"/>
      </bottom>
      <diagonal/>
    </border>
    <border>
      <left style="thin">
        <color theme="0"/>
      </left>
      <right/>
      <top/>
      <bottom style="thin">
        <color auto="1"/>
      </bottom>
      <diagonal/>
    </border>
    <border>
      <left/>
      <right/>
      <top style="thin">
        <color theme="0"/>
      </top>
      <bottom style="thin">
        <color auto="1"/>
      </bottom>
      <diagonal/>
    </border>
  </borders>
  <cellStyleXfs count="76">
    <xf numFmtId="0" fontId="0" fillId="0" borderId="0"/>
    <xf numFmtId="9" fontId="71" fillId="0" borderId="0" applyFont="0" applyFill="0" applyBorder="0" applyAlignment="0" applyProtection="0"/>
    <xf numFmtId="0" fontId="73" fillId="3" borderId="13" applyNumberFormat="0" applyAlignment="0" applyProtection="0"/>
    <xf numFmtId="0" fontId="74" fillId="4" borderId="14" applyNumberFormat="0" applyAlignment="0" applyProtection="0"/>
    <xf numFmtId="0" fontId="76" fillId="0" borderId="0" applyNumberFormat="0" applyFill="0" applyBorder="0" applyAlignment="0" applyProtection="0"/>
    <xf numFmtId="0" fontId="73" fillId="3" borderId="13" applyNumberFormat="0" applyAlignment="0" applyProtection="0"/>
    <xf numFmtId="0" fontId="74" fillId="4" borderId="14" applyNumberFormat="0" applyAlignment="0" applyProtection="0"/>
    <xf numFmtId="0" fontId="74" fillId="4" borderId="14" applyNumberFormat="0" applyAlignment="0" applyProtection="0"/>
    <xf numFmtId="0" fontId="73" fillId="3" borderId="13" applyNumberFormat="0" applyAlignment="0" applyProtection="0"/>
    <xf numFmtId="0" fontId="74" fillId="4" borderId="14" applyNumberFormat="0" applyAlignment="0" applyProtection="0"/>
    <xf numFmtId="0" fontId="73" fillId="3" borderId="13" applyNumberFormat="0" applyAlignment="0" applyProtection="0"/>
    <xf numFmtId="0" fontId="49" fillId="0" borderId="0"/>
    <xf numFmtId="9" fontId="49" fillId="0" borderId="0" applyFont="0" applyFill="0" applyBorder="0" applyAlignment="0" applyProtection="0"/>
    <xf numFmtId="164" fontId="48" fillId="0" borderId="0" applyFont="0" applyFill="0" applyBorder="0" applyAlignment="0" applyProtection="0"/>
    <xf numFmtId="0" fontId="44" fillId="0" borderId="0"/>
    <xf numFmtId="0" fontId="73" fillId="3" borderId="13" applyNumberFormat="0" applyAlignment="0" applyProtection="0"/>
    <xf numFmtId="0" fontId="74" fillId="4" borderId="14" applyNumberFormat="0" applyAlignment="0" applyProtection="0"/>
    <xf numFmtId="43" fontId="71" fillId="0" borderId="0" applyFont="0" applyFill="0" applyBorder="0" applyAlignment="0" applyProtection="0"/>
    <xf numFmtId="0" fontId="73" fillId="3" borderId="13" applyNumberFormat="0" applyAlignment="0" applyProtection="0"/>
    <xf numFmtId="0" fontId="74" fillId="4" borderId="14" applyNumberFormat="0" applyAlignment="0" applyProtection="0"/>
    <xf numFmtId="0" fontId="74" fillId="4" borderId="14" applyNumberFormat="0" applyAlignment="0" applyProtection="0"/>
    <xf numFmtId="0" fontId="73" fillId="3" borderId="13" applyNumberFormat="0" applyAlignment="0" applyProtection="0"/>
    <xf numFmtId="0" fontId="74" fillId="4" borderId="14" applyNumberFormat="0" applyAlignment="0" applyProtection="0"/>
    <xf numFmtId="0" fontId="73" fillId="3" borderId="13" applyNumberFormat="0" applyAlignment="0" applyProtection="0"/>
    <xf numFmtId="0" fontId="35" fillId="0" borderId="0"/>
    <xf numFmtId="9" fontId="35" fillId="0" borderId="0" applyFont="0" applyFill="0" applyBorder="0" applyAlignment="0" applyProtection="0"/>
    <xf numFmtId="164" fontId="35"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43" fontId="71" fillId="0" borderId="0" applyFont="0" applyFill="0" applyBorder="0" applyAlignment="0" applyProtection="0"/>
    <xf numFmtId="0" fontId="27" fillId="0" borderId="0"/>
    <xf numFmtId="0" fontId="73" fillId="3" borderId="13" applyNumberFormat="0" applyAlignment="0" applyProtection="0"/>
    <xf numFmtId="0" fontId="74" fillId="4" borderId="14" applyNumberFormat="0" applyAlignment="0" applyProtection="0"/>
    <xf numFmtId="43" fontId="71" fillId="0" borderId="0" applyFont="0" applyFill="0" applyBorder="0" applyAlignment="0" applyProtection="0"/>
    <xf numFmtId="0" fontId="73" fillId="3" borderId="13" applyNumberFormat="0" applyAlignment="0" applyProtection="0"/>
    <xf numFmtId="0" fontId="74" fillId="4" borderId="14" applyNumberFormat="0" applyAlignment="0" applyProtection="0"/>
    <xf numFmtId="0" fontId="74" fillId="4" borderId="14" applyNumberFormat="0" applyAlignment="0" applyProtection="0"/>
    <xf numFmtId="0" fontId="73" fillId="3" borderId="13" applyNumberFormat="0" applyAlignment="0" applyProtection="0"/>
    <xf numFmtId="0" fontId="74" fillId="4" borderId="14" applyNumberFormat="0" applyAlignment="0" applyProtection="0"/>
    <xf numFmtId="0" fontId="73" fillId="3" borderId="13" applyNumberFormat="0" applyAlignment="0" applyProtection="0"/>
    <xf numFmtId="0" fontId="26" fillId="0" borderId="0"/>
    <xf numFmtId="9" fontId="26" fillId="0" borderId="0" applyFont="0" applyFill="0" applyBorder="0" applyAlignment="0" applyProtection="0"/>
    <xf numFmtId="164" fontId="26" fillId="0" borderId="0" applyFont="0" applyFill="0" applyBorder="0" applyAlignment="0" applyProtection="0"/>
    <xf numFmtId="0" fontId="26" fillId="0" borderId="0"/>
    <xf numFmtId="0" fontId="73" fillId="3" borderId="13" applyNumberFormat="0" applyAlignment="0" applyProtection="0"/>
    <xf numFmtId="0" fontId="74" fillId="4" borderId="14" applyNumberFormat="0" applyAlignment="0" applyProtection="0"/>
    <xf numFmtId="43" fontId="71" fillId="0" borderId="0" applyFont="0" applyFill="0" applyBorder="0" applyAlignment="0" applyProtection="0"/>
    <xf numFmtId="0" fontId="73" fillId="3" borderId="13" applyNumberFormat="0" applyAlignment="0" applyProtection="0"/>
    <xf numFmtId="0" fontId="74" fillId="4" borderId="14" applyNumberFormat="0" applyAlignment="0" applyProtection="0"/>
    <xf numFmtId="0" fontId="74" fillId="4" borderId="14" applyNumberFormat="0" applyAlignment="0" applyProtection="0"/>
    <xf numFmtId="0" fontId="73" fillId="3" borderId="13" applyNumberFormat="0" applyAlignment="0" applyProtection="0"/>
    <xf numFmtId="0" fontId="74" fillId="4" borderId="14" applyNumberFormat="0" applyAlignment="0" applyProtection="0"/>
    <xf numFmtId="0" fontId="73" fillId="3" borderId="13" applyNumberFormat="0" applyAlignment="0" applyProtection="0"/>
    <xf numFmtId="0" fontId="26" fillId="0" borderId="0"/>
    <xf numFmtId="9" fontId="26" fillId="0" borderId="0" applyFont="0" applyFill="0" applyBorder="0" applyAlignment="0" applyProtection="0"/>
    <xf numFmtId="164" fontId="26" fillId="0" borderId="0" applyFont="0" applyFill="0" applyBorder="0" applyAlignment="0" applyProtection="0"/>
    <xf numFmtId="0" fontId="26" fillId="0" borderId="0"/>
    <xf numFmtId="9" fontId="26" fillId="0" borderId="0" applyFont="0" applyFill="0" applyBorder="0" applyAlignment="0" applyProtection="0"/>
    <xf numFmtId="164" fontId="26" fillId="0" borderId="0" applyFont="0" applyFill="0" applyBorder="0" applyAlignment="0" applyProtection="0"/>
    <xf numFmtId="43" fontId="71" fillId="0" borderId="0" applyFont="0" applyFill="0" applyBorder="0" applyAlignment="0" applyProtection="0"/>
    <xf numFmtId="0" fontId="26" fillId="0" borderId="0"/>
    <xf numFmtId="0" fontId="71" fillId="0" borderId="0"/>
    <xf numFmtId="9" fontId="26" fillId="0" borderId="0" applyFont="0" applyFill="0" applyBorder="0" applyAlignment="0" applyProtection="0"/>
    <xf numFmtId="0" fontId="26" fillId="0" borderId="0"/>
    <xf numFmtId="0" fontId="22" fillId="0" borderId="0"/>
    <xf numFmtId="9" fontId="7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9" fillId="0" borderId="0"/>
    <xf numFmtId="0" fontId="72" fillId="0" borderId="0"/>
    <xf numFmtId="43" fontId="9" fillId="0" borderId="0" applyFont="0" applyFill="0" applyBorder="0" applyAlignment="0" applyProtection="0"/>
    <xf numFmtId="0" fontId="9" fillId="0" borderId="0"/>
    <xf numFmtId="0" fontId="71" fillId="0" borderId="0"/>
    <xf numFmtId="43" fontId="71" fillId="0" borderId="0" applyFont="0" applyFill="0" applyBorder="0" applyAlignment="0" applyProtection="0"/>
  </cellStyleXfs>
  <cellXfs count="641">
    <xf numFmtId="0" fontId="0" fillId="0" borderId="0" xfId="0"/>
    <xf numFmtId="0" fontId="67" fillId="0" borderId="0" xfId="0" applyFont="1" applyFill="1" applyBorder="1"/>
    <xf numFmtId="0" fontId="75" fillId="0" borderId="0" xfId="0" applyFont="1"/>
    <xf numFmtId="0" fontId="78" fillId="0" borderId="0" xfId="0" applyFont="1" applyAlignment="1">
      <alignment horizontal="center" vertical="center"/>
    </xf>
    <xf numFmtId="0" fontId="78" fillId="0" borderId="0" xfId="0" applyFont="1" applyAlignment="1">
      <alignment horizontal="left" vertical="center"/>
    </xf>
    <xf numFmtId="1" fontId="78" fillId="0" borderId="0" xfId="0" applyNumberFormat="1" applyFont="1" applyAlignment="1">
      <alignment horizontal="center" vertical="center"/>
    </xf>
    <xf numFmtId="0" fontId="72" fillId="0" borderId="26" xfId="0" applyFont="1" applyBorder="1" applyAlignment="1">
      <alignment wrapText="1"/>
    </xf>
    <xf numFmtId="0" fontId="80" fillId="0" borderId="0" xfId="0" applyFont="1" applyAlignment="1">
      <alignment horizontal="center" vertical="center"/>
    </xf>
    <xf numFmtId="0" fontId="65" fillId="0" borderId="0" xfId="0" applyFont="1"/>
    <xf numFmtId="0" fontId="69" fillId="0" borderId="0" xfId="0" applyFont="1" applyFill="1"/>
    <xf numFmtId="0" fontId="65" fillId="0" borderId="0" xfId="0" applyFont="1" applyFill="1"/>
    <xf numFmtId="0" fontId="65" fillId="0" borderId="0" xfId="0" applyFont="1" applyBorder="1"/>
    <xf numFmtId="0" fontId="65" fillId="0" borderId="0" xfId="0" applyFont="1" applyBorder="1" applyAlignment="1">
      <alignment horizontal="left" vertical="center" wrapText="1"/>
    </xf>
    <xf numFmtId="0" fontId="65" fillId="0" borderId="0" xfId="0" applyFont="1" applyAlignment="1">
      <alignment vertical="center"/>
    </xf>
    <xf numFmtId="0" fontId="65" fillId="0" borderId="0" xfId="0" applyFont="1" applyBorder="1" applyAlignment="1">
      <alignment vertical="center"/>
    </xf>
    <xf numFmtId="0" fontId="65" fillId="0" borderId="0" xfId="0" applyFont="1" applyBorder="1" applyAlignment="1">
      <alignment vertical="center" wrapText="1"/>
    </xf>
    <xf numFmtId="0" fontId="69" fillId="6" borderId="12" xfId="0" applyFont="1" applyFill="1" applyBorder="1" applyAlignment="1">
      <alignment horizontal="center" vertical="center"/>
    </xf>
    <xf numFmtId="0" fontId="72" fillId="0" borderId="0" xfId="0" applyFont="1" applyFill="1" applyBorder="1" applyAlignment="1">
      <alignment horizontal="left"/>
    </xf>
    <xf numFmtId="0" fontId="64" fillId="0" borderId="0" xfId="0" applyFont="1"/>
    <xf numFmtId="0" fontId="64" fillId="0" borderId="0" xfId="0" applyFont="1" applyFill="1" applyBorder="1"/>
    <xf numFmtId="0" fontId="64" fillId="0" borderId="0" xfId="0" applyFont="1" applyFill="1"/>
    <xf numFmtId="0" fontId="64" fillId="0" borderId="0" xfId="0" applyFont="1" applyBorder="1"/>
    <xf numFmtId="0" fontId="64" fillId="0" borderId="0" xfId="0" applyFont="1" applyBorder="1" applyAlignment="1">
      <alignment horizontal="left" vertical="center" wrapText="1"/>
    </xf>
    <xf numFmtId="0" fontId="64" fillId="0" borderId="0" xfId="0" applyFont="1" applyBorder="1" applyAlignment="1">
      <alignment vertical="center" wrapText="1"/>
    </xf>
    <xf numFmtId="0" fontId="64" fillId="0" borderId="0" xfId="0" applyFont="1" applyAlignment="1">
      <alignment vertical="center"/>
    </xf>
    <xf numFmtId="0" fontId="64" fillId="7" borderId="3" xfId="0" applyFont="1" applyFill="1" applyBorder="1" applyAlignment="1">
      <alignment vertical="center"/>
    </xf>
    <xf numFmtId="166" fontId="64" fillId="0" borderId="0" xfId="0" applyNumberFormat="1" applyFont="1" applyAlignment="1">
      <alignment horizontal="left"/>
    </xf>
    <xf numFmtId="0" fontId="64" fillId="0" borderId="0" xfId="0" applyFont="1" applyAlignment="1">
      <alignment horizontal="left"/>
    </xf>
    <xf numFmtId="0" fontId="64" fillId="0" borderId="0" xfId="0" applyFont="1" applyFill="1" applyAlignment="1">
      <alignment horizontal="center" vertical="center"/>
    </xf>
    <xf numFmtId="0" fontId="64" fillId="0" borderId="0" xfId="0" applyFont="1" applyFill="1" applyAlignment="1">
      <alignment vertical="center"/>
    </xf>
    <xf numFmtId="0" fontId="64" fillId="0" borderId="0" xfId="0" applyFont="1" applyBorder="1" applyAlignment="1">
      <alignment vertical="center"/>
    </xf>
    <xf numFmtId="0" fontId="64" fillId="0" borderId="0" xfId="0" applyFont="1" applyAlignment="1">
      <alignment horizontal="left" indent="1"/>
    </xf>
    <xf numFmtId="0" fontId="64" fillId="0" borderId="0" xfId="0" applyFont="1" applyBorder="1" applyAlignment="1">
      <alignment horizontal="left" indent="1"/>
    </xf>
    <xf numFmtId="0" fontId="64" fillId="7" borderId="0" xfId="0" applyFont="1" applyFill="1" applyBorder="1" applyAlignment="1">
      <alignment horizontal="center" vertical="center"/>
    </xf>
    <xf numFmtId="0" fontId="64" fillId="0" borderId="0" xfId="0" applyFont="1" applyBorder="1" applyAlignment="1">
      <alignment horizontal="left" vertical="center" indent="1"/>
    </xf>
    <xf numFmtId="0" fontId="72" fillId="0" borderId="0" xfId="0" applyFont="1" applyFill="1"/>
    <xf numFmtId="3" fontId="72" fillId="7" borderId="3" xfId="0" applyNumberFormat="1" applyFont="1" applyFill="1" applyBorder="1" applyAlignment="1" applyProtection="1">
      <alignment horizontal="right" vertical="center" wrapText="1"/>
      <protection locked="0"/>
    </xf>
    <xf numFmtId="3" fontId="72" fillId="0" borderId="0" xfId="0" applyNumberFormat="1" applyFont="1" applyFill="1" applyBorder="1" applyAlignment="1" applyProtection="1">
      <alignment horizontal="right" vertical="center" wrapText="1"/>
      <protection locked="0"/>
    </xf>
    <xf numFmtId="3" fontId="72" fillId="0" borderId="26" xfId="0" applyNumberFormat="1" applyFont="1" applyFill="1" applyBorder="1" applyAlignment="1">
      <alignment horizontal="left" vertical="center"/>
    </xf>
    <xf numFmtId="3" fontId="72" fillId="7" borderId="22" xfId="0" applyNumberFormat="1" applyFont="1" applyFill="1" applyBorder="1" applyAlignment="1" applyProtection="1">
      <alignment horizontal="right" vertical="center" wrapText="1"/>
      <protection locked="0"/>
    </xf>
    <xf numFmtId="3" fontId="72" fillId="7" borderId="24" xfId="0" applyNumberFormat="1" applyFont="1" applyFill="1" applyBorder="1" applyAlignment="1" applyProtection="1">
      <alignment horizontal="right" vertical="center" wrapText="1"/>
      <protection locked="0"/>
    </xf>
    <xf numFmtId="3" fontId="72" fillId="0" borderId="24" xfId="0" applyNumberFormat="1" applyFont="1" applyFill="1" applyBorder="1" applyAlignment="1" applyProtection="1">
      <alignment horizontal="right" vertical="center" wrapText="1"/>
      <protection locked="0"/>
    </xf>
    <xf numFmtId="3" fontId="72" fillId="7" borderId="31" xfId="0" applyNumberFormat="1" applyFont="1" applyFill="1" applyBorder="1" applyAlignment="1" applyProtection="1">
      <alignment horizontal="right" vertical="center" wrapText="1"/>
      <protection locked="0"/>
    </xf>
    <xf numFmtId="0" fontId="72" fillId="0" borderId="0" xfId="0" applyFont="1" applyFill="1" applyBorder="1" applyAlignment="1">
      <alignment horizontal="left" vertical="center"/>
    </xf>
    <xf numFmtId="3" fontId="72" fillId="0" borderId="0" xfId="0" applyNumberFormat="1" applyFont="1" applyFill="1" applyBorder="1" applyAlignment="1">
      <alignment horizontal="left" vertical="top" wrapText="1"/>
    </xf>
    <xf numFmtId="1" fontId="72" fillId="0" borderId="0" xfId="0" applyNumberFormat="1" applyFont="1" applyFill="1" applyBorder="1" applyAlignment="1">
      <alignment horizontal="left" vertical="top" wrapText="1"/>
    </xf>
    <xf numFmtId="0" fontId="72" fillId="0" borderId="0" xfId="0" applyFont="1" applyFill="1" applyBorder="1" applyAlignment="1">
      <alignment vertical="center"/>
    </xf>
    <xf numFmtId="0" fontId="72" fillId="0" borderId="0" xfId="0" applyFont="1" applyFill="1" applyAlignment="1">
      <alignment vertical="center"/>
    </xf>
    <xf numFmtId="0" fontId="72" fillId="0" borderId="0" xfId="0" applyFont="1" applyFill="1" applyAlignment="1">
      <alignment vertical="center" wrapText="1"/>
    </xf>
    <xf numFmtId="1" fontId="72" fillId="0" borderId="0" xfId="0" applyNumberFormat="1" applyFont="1" applyFill="1" applyBorder="1" applyAlignment="1">
      <alignment horizontal="right" vertical="center"/>
    </xf>
    <xf numFmtId="0" fontId="72" fillId="0" borderId="42" xfId="0" applyFont="1" applyFill="1" applyBorder="1" applyAlignment="1">
      <alignment horizontal="left" vertical="center"/>
    </xf>
    <xf numFmtId="1" fontId="72" fillId="0" borderId="42" xfId="0" applyNumberFormat="1" applyFont="1" applyFill="1" applyBorder="1" applyAlignment="1">
      <alignment horizontal="right" vertical="center"/>
    </xf>
    <xf numFmtId="0" fontId="84" fillId="2" borderId="40" xfId="0" applyFont="1" applyFill="1" applyBorder="1" applyAlignment="1">
      <alignment horizontal="left" vertical="center"/>
    </xf>
    <xf numFmtId="0" fontId="72" fillId="2" borderId="40" xfId="0" applyFont="1" applyFill="1" applyBorder="1" applyAlignment="1">
      <alignment horizontal="left" vertical="center"/>
    </xf>
    <xf numFmtId="0" fontId="83" fillId="2" borderId="40" xfId="0" applyFont="1" applyFill="1" applyBorder="1" applyAlignment="1">
      <alignment horizontal="center" vertical="center" wrapText="1"/>
    </xf>
    <xf numFmtId="1" fontId="72" fillId="2" borderId="42" xfId="0" applyNumberFormat="1" applyFont="1" applyFill="1" applyBorder="1" applyAlignment="1">
      <alignment vertical="center" wrapText="1"/>
    </xf>
    <xf numFmtId="3" fontId="72" fillId="2" borderId="42" xfId="0" applyNumberFormat="1" applyFont="1" applyFill="1" applyBorder="1" applyAlignment="1">
      <alignment horizontal="center" vertical="center" wrapText="1"/>
    </xf>
    <xf numFmtId="3" fontId="72" fillId="2" borderId="42" xfId="0" applyNumberFormat="1" applyFont="1" applyFill="1" applyBorder="1" applyAlignment="1">
      <alignment horizontal="left" vertical="center" wrapText="1"/>
    </xf>
    <xf numFmtId="0" fontId="72" fillId="2" borderId="42" xfId="0" applyFont="1" applyFill="1" applyBorder="1" applyAlignment="1">
      <alignment vertical="center" wrapText="1"/>
    </xf>
    <xf numFmtId="14" fontId="72" fillId="2" borderId="42" xfId="0" applyNumberFormat="1" applyFont="1" applyFill="1" applyBorder="1" applyAlignment="1">
      <alignment horizontal="center" vertical="center" wrapText="1"/>
    </xf>
    <xf numFmtId="0" fontId="84" fillId="0" borderId="21" xfId="0" applyFont="1" applyFill="1" applyBorder="1" applyAlignment="1">
      <alignment vertical="center"/>
    </xf>
    <xf numFmtId="0" fontId="72" fillId="0" borderId="21" xfId="0" applyFont="1" applyFill="1" applyBorder="1" applyAlignment="1">
      <alignment vertical="center"/>
    </xf>
    <xf numFmtId="0" fontId="82" fillId="0" borderId="26" xfId="0" applyFont="1" applyFill="1" applyBorder="1" applyAlignment="1">
      <alignment horizontal="left" vertical="center"/>
    </xf>
    <xf numFmtId="0" fontId="72" fillId="0" borderId="0" xfId="0" applyFont="1" applyFill="1" applyBorder="1" applyAlignment="1">
      <alignment vertical="center"/>
    </xf>
    <xf numFmtId="3" fontId="72" fillId="7" borderId="9" xfId="0" applyNumberFormat="1" applyFont="1" applyFill="1" applyBorder="1" applyAlignment="1" applyProtection="1">
      <alignment horizontal="right" vertical="center" wrapText="1"/>
      <protection locked="0"/>
    </xf>
    <xf numFmtId="3" fontId="72" fillId="7" borderId="12" xfId="0" applyNumberFormat="1" applyFont="1" applyFill="1" applyBorder="1" applyAlignment="1" applyProtection="1">
      <alignment horizontal="right" vertical="center" wrapText="1"/>
      <protection locked="0"/>
    </xf>
    <xf numFmtId="0" fontId="72" fillId="0" borderId="0" xfId="0" applyFont="1" applyFill="1" applyBorder="1" applyAlignment="1">
      <alignment vertical="top" wrapText="1"/>
    </xf>
    <xf numFmtId="0" fontId="72" fillId="0" borderId="0" xfId="0" applyFont="1" applyFill="1" applyBorder="1" applyAlignment="1">
      <alignment horizontal="left" vertical="top" wrapText="1"/>
    </xf>
    <xf numFmtId="3" fontId="72" fillId="7" borderId="30" xfId="0" applyNumberFormat="1" applyFont="1" applyFill="1" applyBorder="1" applyAlignment="1" applyProtection="1">
      <alignment horizontal="right" vertical="center" wrapText="1"/>
      <protection locked="0"/>
    </xf>
    <xf numFmtId="3" fontId="72" fillId="2" borderId="26" xfId="0" applyNumberFormat="1" applyFont="1" applyFill="1" applyBorder="1" applyAlignment="1">
      <alignment vertical="center"/>
    </xf>
    <xf numFmtId="3" fontId="72" fillId="2" borderId="26" xfId="0" applyNumberFormat="1" applyFont="1" applyFill="1" applyBorder="1" applyAlignment="1">
      <alignment horizontal="left" vertical="center"/>
    </xf>
    <xf numFmtId="0" fontId="72" fillId="2" borderId="26" xfId="0" applyFont="1" applyFill="1" applyBorder="1" applyAlignment="1">
      <alignment vertical="center"/>
    </xf>
    <xf numFmtId="3" fontId="72" fillId="2" borderId="26" xfId="0" applyNumberFormat="1" applyFont="1" applyFill="1" applyBorder="1" applyAlignment="1">
      <alignment horizontal="right" vertical="center"/>
    </xf>
    <xf numFmtId="3" fontId="82" fillId="0" borderId="26" xfId="0" applyNumberFormat="1" applyFont="1" applyFill="1" applyBorder="1" applyAlignment="1">
      <alignment horizontal="left" vertical="center"/>
    </xf>
    <xf numFmtId="3" fontId="72" fillId="0" borderId="28" xfId="0" applyNumberFormat="1" applyFont="1" applyFill="1" applyBorder="1" applyAlignment="1">
      <alignment horizontal="right" vertical="center"/>
    </xf>
    <xf numFmtId="3" fontId="72" fillId="0" borderId="26" xfId="0" applyNumberFormat="1" applyFont="1" applyFill="1" applyBorder="1" applyAlignment="1">
      <alignment horizontal="right" vertical="center"/>
    </xf>
    <xf numFmtId="3" fontId="72" fillId="2" borderId="26" xfId="0" quotePrefix="1" applyNumberFormat="1" applyFont="1" applyFill="1" applyBorder="1" applyAlignment="1">
      <alignment horizontal="left" vertical="center"/>
    </xf>
    <xf numFmtId="0" fontId="72" fillId="2" borderId="26" xfId="0" applyFont="1" applyFill="1" applyBorder="1" applyAlignment="1">
      <alignment horizontal="left" vertical="center"/>
    </xf>
    <xf numFmtId="0" fontId="72" fillId="2" borderId="0" xfId="0" applyFont="1" applyFill="1" applyBorder="1" applyAlignment="1">
      <alignment vertical="center"/>
    </xf>
    <xf numFmtId="3" fontId="72" fillId="7" borderId="5" xfId="0" applyNumberFormat="1" applyFont="1" applyFill="1" applyBorder="1" applyAlignment="1" applyProtection="1">
      <alignment horizontal="right" vertical="center" wrapText="1"/>
      <protection locked="0"/>
    </xf>
    <xf numFmtId="0" fontId="72" fillId="2" borderId="21" xfId="0" applyFont="1" applyFill="1" applyBorder="1" applyAlignment="1">
      <alignment vertical="center"/>
    </xf>
    <xf numFmtId="3" fontId="72" fillId="7" borderId="20" xfId="0" applyNumberFormat="1" applyFont="1" applyFill="1" applyBorder="1" applyAlignment="1" applyProtection="1">
      <alignment horizontal="right" vertical="center" wrapText="1"/>
      <protection locked="0"/>
    </xf>
    <xf numFmtId="3" fontId="72" fillId="7" borderId="36" xfId="0" applyNumberFormat="1" applyFont="1" applyFill="1" applyBorder="1" applyAlignment="1" applyProtection="1">
      <alignment horizontal="right" vertical="center" wrapText="1"/>
      <protection locked="0"/>
    </xf>
    <xf numFmtId="3" fontId="77" fillId="0" borderId="26" xfId="0" applyNumberFormat="1" applyFont="1" applyFill="1" applyBorder="1" applyAlignment="1">
      <alignment vertical="center"/>
    </xf>
    <xf numFmtId="3" fontId="77" fillId="7" borderId="9" xfId="0" applyNumberFormat="1" applyFont="1" applyFill="1" applyBorder="1" applyAlignment="1" applyProtection="1">
      <alignment horizontal="right" vertical="center" wrapText="1"/>
      <protection locked="0"/>
    </xf>
    <xf numFmtId="0" fontId="72" fillId="0" borderId="28" xfId="0" applyFont="1" applyFill="1" applyBorder="1" applyAlignment="1">
      <alignment vertical="center"/>
    </xf>
    <xf numFmtId="3" fontId="72" fillId="0" borderId="38" xfId="0" applyNumberFormat="1" applyFont="1" applyFill="1" applyBorder="1" applyAlignment="1" applyProtection="1">
      <alignment horizontal="right" vertical="center" wrapText="1"/>
      <protection locked="0"/>
    </xf>
    <xf numFmtId="3" fontId="72" fillId="0" borderId="43" xfId="0" applyNumberFormat="1" applyFont="1" applyFill="1" applyBorder="1" applyAlignment="1" applyProtection="1">
      <alignment horizontal="right" vertical="center" wrapText="1"/>
      <protection locked="0"/>
    </xf>
    <xf numFmtId="3" fontId="72" fillId="0" borderId="20" xfId="0" applyNumberFormat="1" applyFont="1" applyFill="1" applyBorder="1" applyAlignment="1" applyProtection="1">
      <alignment horizontal="right" vertical="center" wrapText="1"/>
      <protection locked="0"/>
    </xf>
    <xf numFmtId="3" fontId="72" fillId="0" borderId="36" xfId="0" applyNumberFormat="1" applyFont="1" applyFill="1" applyBorder="1" applyAlignment="1" applyProtection="1">
      <alignment horizontal="right" vertical="center" wrapText="1"/>
      <protection locked="0"/>
    </xf>
    <xf numFmtId="3" fontId="72" fillId="0" borderId="22" xfId="0" applyNumberFormat="1" applyFont="1" applyFill="1" applyBorder="1" applyAlignment="1" applyProtection="1">
      <alignment horizontal="right" vertical="center" wrapText="1"/>
      <protection locked="0"/>
    </xf>
    <xf numFmtId="3" fontId="72" fillId="7" borderId="38" xfId="0" applyNumberFormat="1" applyFont="1" applyFill="1" applyBorder="1" applyAlignment="1" applyProtection="1">
      <alignment horizontal="right" vertical="center" wrapText="1"/>
      <protection locked="0"/>
    </xf>
    <xf numFmtId="3" fontId="72" fillId="7" borderId="43" xfId="0" applyNumberFormat="1" applyFont="1" applyFill="1" applyBorder="1" applyAlignment="1" applyProtection="1">
      <alignment horizontal="right" vertical="center" wrapText="1"/>
      <protection locked="0"/>
    </xf>
    <xf numFmtId="0" fontId="72" fillId="0" borderId="25" xfId="0" applyFont="1" applyFill="1" applyBorder="1" applyAlignment="1">
      <alignment vertical="center"/>
    </xf>
    <xf numFmtId="3" fontId="72" fillId="7" borderId="19" xfId="0" applyNumberFormat="1" applyFont="1" applyFill="1" applyBorder="1" applyAlignment="1" applyProtection="1">
      <alignment horizontal="right" vertical="center" wrapText="1"/>
      <protection locked="0"/>
    </xf>
    <xf numFmtId="3" fontId="82" fillId="0" borderId="26" xfId="0" applyNumberFormat="1" applyFont="1" applyFill="1" applyBorder="1" applyAlignment="1">
      <alignment vertical="center"/>
    </xf>
    <xf numFmtId="3" fontId="77" fillId="2" borderId="26" xfId="0" applyNumberFormat="1" applyFont="1" applyFill="1" applyBorder="1" applyAlignment="1">
      <alignment vertical="center"/>
    </xf>
    <xf numFmtId="0" fontId="72" fillId="0" borderId="26" xfId="0" applyFont="1" applyFill="1" applyBorder="1" applyAlignment="1">
      <alignment horizontal="left" vertical="center"/>
    </xf>
    <xf numFmtId="3" fontId="72" fillId="0" borderId="0" xfId="0" applyNumberFormat="1" applyFont="1" applyFill="1" applyBorder="1" applyAlignment="1">
      <alignment horizontal="right" vertical="center"/>
    </xf>
    <xf numFmtId="0" fontId="77" fillId="2" borderId="26" xfId="0" applyFont="1" applyFill="1" applyBorder="1" applyAlignment="1">
      <alignment vertical="center"/>
    </xf>
    <xf numFmtId="3" fontId="72" fillId="2" borderId="26" xfId="0" applyNumberFormat="1" applyFont="1" applyFill="1" applyBorder="1" applyAlignment="1" applyProtection="1">
      <alignment horizontal="right" vertical="center" wrapText="1"/>
      <protection locked="0"/>
    </xf>
    <xf numFmtId="3" fontId="72" fillId="7" borderId="15" xfId="0" applyNumberFormat="1" applyFont="1" applyFill="1" applyBorder="1" applyAlignment="1" applyProtection="1">
      <alignment horizontal="right" vertical="center" wrapText="1"/>
      <protection locked="0"/>
    </xf>
    <xf numFmtId="3" fontId="77" fillId="2" borderId="26" xfId="0" applyNumberFormat="1" applyFont="1" applyFill="1" applyBorder="1" applyAlignment="1">
      <alignment horizontal="left" vertical="center"/>
    </xf>
    <xf numFmtId="3" fontId="72" fillId="0" borderId="28" xfId="0" applyNumberFormat="1" applyFont="1" applyFill="1" applyBorder="1" applyAlignment="1" applyProtection="1">
      <alignment horizontal="right" vertical="center" wrapText="1"/>
      <protection locked="0"/>
    </xf>
    <xf numFmtId="3" fontId="72" fillId="7" borderId="2" xfId="0" applyNumberFormat="1" applyFont="1" applyFill="1" applyBorder="1" applyAlignment="1" applyProtection="1">
      <alignment horizontal="right" vertical="center" wrapText="1"/>
      <protection locked="0"/>
    </xf>
    <xf numFmtId="3" fontId="72" fillId="7" borderId="4" xfId="0" applyNumberFormat="1" applyFont="1" applyFill="1" applyBorder="1" applyAlignment="1" applyProtection="1">
      <alignment horizontal="right" vertical="center" wrapText="1"/>
      <protection locked="0"/>
    </xf>
    <xf numFmtId="3" fontId="77" fillId="7" borderId="3" xfId="0" applyNumberFormat="1" applyFont="1" applyFill="1" applyBorder="1" applyAlignment="1" applyProtection="1">
      <alignment horizontal="right" vertical="center" wrapText="1"/>
      <protection locked="0"/>
    </xf>
    <xf numFmtId="3" fontId="72" fillId="0" borderId="26" xfId="0" applyNumberFormat="1" applyFont="1" applyFill="1" applyBorder="1" applyAlignment="1">
      <alignment horizontal="left" vertical="top"/>
    </xf>
    <xf numFmtId="0" fontId="82" fillId="0" borderId="26" xfId="0" applyFont="1" applyFill="1" applyBorder="1" applyAlignment="1">
      <alignment vertical="center"/>
    </xf>
    <xf numFmtId="3" fontId="72" fillId="0" borderId="26" xfId="0" quotePrefix="1" applyNumberFormat="1" applyFont="1" applyFill="1" applyBorder="1" applyAlignment="1">
      <alignment vertical="center"/>
    </xf>
    <xf numFmtId="0" fontId="84" fillId="0" borderId="26" xfId="0" applyFont="1" applyFill="1" applyBorder="1" applyAlignment="1">
      <alignment vertical="center"/>
    </xf>
    <xf numFmtId="3" fontId="72" fillId="7" borderId="18" xfId="0" applyNumberFormat="1" applyFont="1" applyFill="1" applyBorder="1" applyAlignment="1" applyProtection="1">
      <alignment horizontal="right" vertical="center" wrapText="1"/>
      <protection locked="0"/>
    </xf>
    <xf numFmtId="3" fontId="72" fillId="7" borderId="23" xfId="0" applyNumberFormat="1" applyFont="1" applyFill="1" applyBorder="1" applyAlignment="1" applyProtection="1">
      <alignment horizontal="right" vertical="center" wrapText="1"/>
      <protection locked="0"/>
    </xf>
    <xf numFmtId="0" fontId="72" fillId="0" borderId="26" xfId="0" applyFont="1" applyFill="1" applyBorder="1" applyAlignment="1">
      <alignment vertical="center"/>
    </xf>
    <xf numFmtId="3" fontId="72" fillId="7" borderId="6" xfId="0" applyNumberFormat="1" applyFont="1" applyFill="1" applyBorder="1" applyAlignment="1" applyProtection="1">
      <alignment horizontal="right" vertical="center" wrapText="1"/>
      <protection locked="0"/>
    </xf>
    <xf numFmtId="3" fontId="82" fillId="2" borderId="26" xfId="0" applyNumberFormat="1" applyFont="1" applyFill="1" applyBorder="1" applyAlignment="1">
      <alignment horizontal="left" vertical="center"/>
    </xf>
    <xf numFmtId="3" fontId="72" fillId="2" borderId="21" xfId="0" applyNumberFormat="1" applyFont="1" applyFill="1" applyBorder="1" applyAlignment="1">
      <alignment horizontal="center" vertical="center"/>
    </xf>
    <xf numFmtId="3" fontId="72" fillId="0" borderId="0" xfId="0" applyNumberFormat="1" applyFont="1" applyFill="1" applyBorder="1" applyAlignment="1">
      <alignment horizontal="right"/>
    </xf>
    <xf numFmtId="3" fontId="72" fillId="7" borderId="35" xfId="0" applyNumberFormat="1" applyFont="1" applyFill="1" applyBorder="1" applyAlignment="1" applyProtection="1">
      <alignment horizontal="right" vertical="center" wrapText="1"/>
      <protection locked="0"/>
    </xf>
    <xf numFmtId="0" fontId="84" fillId="2" borderId="26" xfId="0" applyFont="1" applyFill="1" applyBorder="1" applyAlignment="1">
      <alignment vertical="center"/>
    </xf>
    <xf numFmtId="3" fontId="82" fillId="0" borderId="26" xfId="0" quotePrefix="1" applyNumberFormat="1" applyFont="1" applyFill="1" applyBorder="1" applyAlignment="1">
      <alignment horizontal="left" vertical="center"/>
    </xf>
    <xf numFmtId="0" fontId="82" fillId="2" borderId="26" xfId="0" applyFont="1" applyFill="1" applyBorder="1" applyAlignment="1">
      <alignment vertical="center"/>
    </xf>
    <xf numFmtId="0" fontId="72" fillId="2" borderId="26" xfId="0" applyFont="1" applyFill="1" applyBorder="1" applyAlignment="1">
      <alignment vertical="center"/>
    </xf>
    <xf numFmtId="3" fontId="72" fillId="0" borderId="27" xfId="0" quotePrefix="1" applyNumberFormat="1" applyFont="1" applyFill="1" applyBorder="1" applyAlignment="1">
      <alignment horizontal="left" vertical="center"/>
    </xf>
    <xf numFmtId="0" fontId="84" fillId="0" borderId="27" xfId="0" applyFont="1" applyFill="1" applyBorder="1" applyAlignment="1">
      <alignment vertical="center"/>
    </xf>
    <xf numFmtId="0" fontId="72" fillId="0" borderId="0" xfId="0" applyFont="1" applyFill="1" applyBorder="1" applyAlignment="1">
      <alignment horizontal="left" vertical="center" wrapText="1"/>
    </xf>
    <xf numFmtId="3" fontId="72" fillId="0" borderId="0" xfId="0" applyNumberFormat="1" applyFont="1" applyFill="1" applyBorder="1"/>
    <xf numFmtId="3" fontId="72" fillId="0" borderId="0" xfId="0" applyNumberFormat="1" applyFont="1" applyFill="1" applyBorder="1" applyAlignment="1">
      <alignment horizontal="left" vertical="top" wrapText="1"/>
    </xf>
    <xf numFmtId="0" fontId="82" fillId="0" borderId="0" xfId="0" applyFont="1" applyFill="1" applyBorder="1" applyAlignment="1">
      <alignment vertical="center"/>
    </xf>
    <xf numFmtId="0" fontId="85" fillId="0" borderId="0" xfId="0" applyFont="1" applyFill="1" applyBorder="1" applyAlignment="1">
      <alignment vertical="center"/>
    </xf>
    <xf numFmtId="0" fontId="82" fillId="0" borderId="0" xfId="0" applyFont="1" applyFill="1" applyBorder="1" applyAlignment="1">
      <alignment horizontal="right" vertical="center"/>
    </xf>
    <xf numFmtId="0" fontId="82" fillId="0" borderId="0" xfId="0" quotePrefix="1" applyFont="1" applyFill="1" applyBorder="1" applyAlignment="1">
      <alignment vertical="center"/>
    </xf>
    <xf numFmtId="0" fontId="0" fillId="0" borderId="0" xfId="0"/>
    <xf numFmtId="0" fontId="86" fillId="0" borderId="0" xfId="0" applyFont="1" applyAlignment="1">
      <alignment wrapText="1"/>
    </xf>
    <xf numFmtId="0" fontId="86" fillId="0" borderId="0" xfId="0" applyFont="1"/>
    <xf numFmtId="0" fontId="86" fillId="0" borderId="0" xfId="0" applyFont="1" applyAlignment="1">
      <alignment horizontal="left" wrapText="1"/>
    </xf>
    <xf numFmtId="0" fontId="86" fillId="0" borderId="0" xfId="0" applyFont="1" applyAlignment="1">
      <alignment vertical="top" wrapText="1"/>
    </xf>
    <xf numFmtId="0" fontId="86" fillId="0" borderId="0" xfId="0" applyFont="1" applyAlignment="1">
      <alignment horizontal="left" vertical="top" wrapText="1"/>
    </xf>
    <xf numFmtId="0" fontId="86" fillId="0" borderId="41" xfId="0" applyFont="1" applyBorder="1" applyAlignment="1">
      <alignment vertical="top" wrapText="1"/>
    </xf>
    <xf numFmtId="0" fontId="86" fillId="0" borderId="41" xfId="0" applyFont="1" applyBorder="1" applyAlignment="1">
      <alignment horizontal="left" vertical="top" wrapText="1"/>
    </xf>
    <xf numFmtId="0" fontId="86" fillId="0" borderId="0" xfId="0" applyFont="1" applyBorder="1"/>
    <xf numFmtId="0" fontId="87" fillId="0" borderId="0" xfId="0" applyFont="1" applyBorder="1" applyAlignment="1">
      <alignment horizontal="center"/>
    </xf>
    <xf numFmtId="0" fontId="87" fillId="0" borderId="0" xfId="0" applyFont="1" applyFill="1" applyBorder="1" applyAlignment="1">
      <alignment horizontal="center"/>
    </xf>
    <xf numFmtId="3" fontId="89" fillId="0" borderId="0" xfId="0" applyNumberFormat="1" applyFont="1" applyFill="1" applyBorder="1" applyAlignment="1">
      <alignment vertical="center"/>
    </xf>
    <xf numFmtId="3" fontId="87" fillId="0" borderId="0" xfId="0" applyNumberFormat="1" applyFont="1" applyFill="1" applyBorder="1" applyAlignment="1">
      <alignment horizontal="right" vertical="center" wrapText="1"/>
    </xf>
    <xf numFmtId="168" fontId="90" fillId="0" borderId="0" xfId="0" quotePrefix="1" applyNumberFormat="1" applyFont="1" applyFill="1" applyBorder="1" applyAlignment="1">
      <alignment horizontal="center" vertical="center"/>
    </xf>
    <xf numFmtId="3" fontId="86" fillId="0" borderId="0" xfId="0" quotePrefix="1" applyNumberFormat="1" applyFont="1" applyFill="1" applyBorder="1" applyAlignment="1">
      <alignment horizontal="right" vertical="center" wrapText="1"/>
    </xf>
    <xf numFmtId="3" fontId="86" fillId="0" borderId="0" xfId="0" applyNumberFormat="1" applyFont="1" applyFill="1" applyBorder="1" applyAlignment="1" applyProtection="1">
      <alignment horizontal="right" vertical="center" wrapText="1"/>
      <protection locked="0"/>
    </xf>
    <xf numFmtId="3" fontId="86" fillId="0" borderId="26" xfId="0" applyNumberFormat="1" applyFont="1" applyFill="1" applyBorder="1" applyAlignment="1">
      <alignment horizontal="left" vertical="top" wrapText="1"/>
    </xf>
    <xf numFmtId="3" fontId="86" fillId="7" borderId="26" xfId="0" applyNumberFormat="1" applyFont="1" applyFill="1" applyBorder="1" applyAlignment="1" applyProtection="1">
      <alignment horizontal="right" vertical="center" wrapText="1"/>
      <protection locked="0"/>
    </xf>
    <xf numFmtId="3" fontId="89" fillId="8" borderId="26" xfId="0" applyNumberFormat="1" applyFont="1" applyFill="1" applyBorder="1" applyAlignment="1" applyProtection="1">
      <alignment horizontal="right" vertical="center" wrapText="1"/>
      <protection locked="0"/>
    </xf>
    <xf numFmtId="3" fontId="86" fillId="0" borderId="26" xfId="0" quotePrefix="1" applyNumberFormat="1" applyFont="1" applyFill="1" applyBorder="1" applyAlignment="1">
      <alignment horizontal="right" vertical="center" wrapText="1"/>
    </xf>
    <xf numFmtId="3" fontId="89" fillId="7" borderId="26" xfId="0" applyNumberFormat="1" applyFont="1" applyFill="1" applyBorder="1" applyAlignment="1" applyProtection="1">
      <alignment horizontal="right" vertical="center" wrapText="1"/>
      <protection locked="0"/>
    </xf>
    <xf numFmtId="3" fontId="86" fillId="0" borderId="0" xfId="0" applyNumberFormat="1" applyFont="1" applyFill="1" applyBorder="1"/>
    <xf numFmtId="3" fontId="86" fillId="0" borderId="0" xfId="0" applyNumberFormat="1" applyFont="1" applyFill="1" applyBorder="1" applyAlignment="1">
      <alignment horizontal="left" vertical="top" wrapText="1"/>
    </xf>
    <xf numFmtId="3" fontId="86" fillId="0" borderId="0" xfId="0" applyNumberFormat="1" applyFont="1" applyFill="1" applyBorder="1" applyAlignment="1">
      <alignment horizontal="left" vertical="top" wrapText="1"/>
    </xf>
    <xf numFmtId="3" fontId="84" fillId="0" borderId="0" xfId="0" applyNumberFormat="1" applyFont="1" applyFill="1" applyBorder="1"/>
    <xf numFmtId="3" fontId="89" fillId="0" borderId="28" xfId="0" applyNumberFormat="1" applyFont="1" applyFill="1" applyBorder="1" applyAlignment="1">
      <alignment vertical="center"/>
    </xf>
    <xf numFmtId="3" fontId="87" fillId="0" borderId="26" xfId="0" applyNumberFormat="1" applyFont="1" applyFill="1" applyBorder="1" applyAlignment="1">
      <alignment horizontal="right" vertical="center" wrapText="1"/>
    </xf>
    <xf numFmtId="3" fontId="87" fillId="0" borderId="0" xfId="0" applyNumberFormat="1" applyFont="1" applyFill="1" applyBorder="1" applyAlignment="1">
      <alignment horizontal="right" vertical="center" wrapText="1"/>
    </xf>
    <xf numFmtId="3" fontId="86" fillId="0" borderId="26" xfId="0" applyNumberFormat="1" applyFont="1" applyFill="1" applyBorder="1" applyAlignment="1">
      <alignment horizontal="left" wrapText="1"/>
    </xf>
    <xf numFmtId="0" fontId="86" fillId="0" borderId="25" xfId="0" applyFont="1" applyBorder="1"/>
    <xf numFmtId="3" fontId="87" fillId="0" borderId="26" xfId="0" applyNumberFormat="1" applyFont="1" applyFill="1" applyBorder="1" applyAlignment="1">
      <alignment horizontal="right" vertical="center" wrapText="1"/>
    </xf>
    <xf numFmtId="3" fontId="86" fillId="9" borderId="26" xfId="0" applyNumberFormat="1" applyFont="1" applyFill="1" applyBorder="1" applyAlignment="1" applyProtection="1">
      <alignment horizontal="right" vertical="center" wrapText="1"/>
      <protection locked="0"/>
    </xf>
    <xf numFmtId="3" fontId="86" fillId="7" borderId="26" xfId="0" quotePrefix="1" applyNumberFormat="1" applyFont="1" applyFill="1" applyBorder="1" applyAlignment="1">
      <alignment horizontal="right" vertical="center" wrapText="1"/>
    </xf>
    <xf numFmtId="0" fontId="86" fillId="0" borderId="0" xfId="0" applyFont="1" applyAlignment="1">
      <alignment vertical="top"/>
    </xf>
    <xf numFmtId="0" fontId="87" fillId="0" borderId="0" xfId="0" applyFont="1" applyFill="1" applyAlignment="1">
      <alignment vertical="top"/>
    </xf>
    <xf numFmtId="0" fontId="86" fillId="0" borderId="0" xfId="0" applyFont="1" applyFill="1" applyAlignment="1">
      <alignment vertical="top" wrapText="1"/>
    </xf>
    <xf numFmtId="0" fontId="86" fillId="0" borderId="0" xfId="0" applyFont="1" applyFill="1" applyAlignment="1">
      <alignment horizontal="left" vertical="top" wrapText="1"/>
    </xf>
    <xf numFmtId="0" fontId="86" fillId="0" borderId="0" xfId="0" applyFont="1" applyFill="1" applyAlignment="1">
      <alignment vertical="top"/>
    </xf>
    <xf numFmtId="0" fontId="72" fillId="0" borderId="0" xfId="0" applyFont="1" applyFill="1" applyAlignment="1">
      <alignment horizontal="center" vertical="center"/>
    </xf>
    <xf numFmtId="0" fontId="72" fillId="0" borderId="0" xfId="0" applyFont="1" applyFill="1" applyBorder="1" applyAlignment="1">
      <alignment horizontal="right" vertical="center"/>
    </xf>
    <xf numFmtId="3" fontId="72" fillId="0" borderId="0" xfId="0" applyNumberFormat="1" applyFont="1" applyFill="1" applyBorder="1" applyAlignment="1">
      <alignment horizontal="center" vertical="top" wrapText="1"/>
    </xf>
    <xf numFmtId="3" fontId="81" fillId="0" borderId="0" xfId="0" applyNumberFormat="1" applyFont="1" applyFill="1" applyBorder="1" applyAlignment="1">
      <alignment vertical="top" wrapText="1"/>
    </xf>
    <xf numFmtId="0" fontId="81" fillId="0" borderId="0" xfId="0" applyFont="1" applyFill="1" applyBorder="1" applyAlignment="1">
      <alignment vertical="top" wrapText="1"/>
    </xf>
    <xf numFmtId="0" fontId="82" fillId="2" borderId="11" xfId="0" applyFont="1" applyFill="1" applyBorder="1" applyAlignment="1">
      <alignment horizontal="left" vertical="center"/>
    </xf>
    <xf numFmtId="0" fontId="82" fillId="2" borderId="2" xfId="0" applyFont="1" applyFill="1" applyBorder="1" applyAlignment="1">
      <alignment horizontal="center" vertical="center"/>
    </xf>
    <xf numFmtId="0" fontId="72" fillId="2" borderId="2" xfId="0" applyFont="1" applyFill="1" applyBorder="1" applyAlignment="1">
      <alignment horizontal="left" vertical="center"/>
    </xf>
    <xf numFmtId="0" fontId="84" fillId="2" borderId="2" xfId="0" applyFont="1" applyFill="1" applyBorder="1" applyAlignment="1">
      <alignment horizontal="center" vertical="center" wrapText="1"/>
    </xf>
    <xf numFmtId="3" fontId="72" fillId="0" borderId="26" xfId="0" applyNumberFormat="1" applyFont="1" applyFill="1" applyBorder="1" applyAlignment="1">
      <alignment horizontal="center" vertical="center"/>
    </xf>
    <xf numFmtId="3" fontId="72" fillId="0" borderId="26" xfId="0" applyNumberFormat="1" applyFont="1" applyFill="1" applyBorder="1" applyAlignment="1">
      <alignment vertical="center"/>
    </xf>
    <xf numFmtId="168" fontId="72" fillId="0" borderId="26" xfId="0" applyNumberFormat="1" applyFont="1" applyFill="1" applyBorder="1" applyAlignment="1">
      <alignment horizontal="center" vertical="center"/>
    </xf>
    <xf numFmtId="3" fontId="72" fillId="7" borderId="33" xfId="0" applyNumberFormat="1" applyFont="1" applyFill="1" applyBorder="1" applyAlignment="1" applyProtection="1">
      <alignment horizontal="right" vertical="center" wrapText="1"/>
      <protection locked="0"/>
    </xf>
    <xf numFmtId="3" fontId="72" fillId="2" borderId="26" xfId="0" applyNumberFormat="1" applyFont="1" applyFill="1" applyBorder="1" applyAlignment="1">
      <alignment horizontal="center" vertical="center"/>
    </xf>
    <xf numFmtId="3" fontId="72" fillId="2" borderId="26" xfId="0" applyNumberFormat="1" applyFont="1" applyFill="1" applyBorder="1" applyAlignment="1">
      <alignment vertical="center"/>
    </xf>
    <xf numFmtId="3" fontId="72" fillId="0" borderId="26" xfId="0" quotePrefix="1" applyNumberFormat="1" applyFont="1" applyFill="1" applyBorder="1" applyAlignment="1">
      <alignment horizontal="center" vertical="center"/>
    </xf>
    <xf numFmtId="3" fontId="72" fillId="2" borderId="26" xfId="0" quotePrefix="1" applyNumberFormat="1" applyFont="1" applyFill="1" applyBorder="1" applyAlignment="1">
      <alignment horizontal="center" vertical="center"/>
    </xf>
    <xf numFmtId="0" fontId="72" fillId="0" borderId="26" xfId="0" applyFont="1" applyFill="1" applyBorder="1" applyAlignment="1">
      <alignment horizontal="center" vertical="center"/>
    </xf>
    <xf numFmtId="3" fontId="72" fillId="0" borderId="21" xfId="0" applyNumberFormat="1" applyFont="1" applyFill="1" applyBorder="1" applyAlignment="1" applyProtection="1">
      <alignment horizontal="right" vertical="center" wrapText="1"/>
      <protection locked="0"/>
    </xf>
    <xf numFmtId="0" fontId="72" fillId="2" borderId="26" xfId="0" applyFont="1" applyFill="1" applyBorder="1" applyAlignment="1">
      <alignment horizontal="center" vertical="center"/>
    </xf>
    <xf numFmtId="3" fontId="72" fillId="0" borderId="26" xfId="0" applyNumberFormat="1" applyFont="1" applyFill="1" applyBorder="1" applyAlignment="1" applyProtection="1">
      <alignment horizontal="right" vertical="center" wrapText="1"/>
      <protection locked="0"/>
    </xf>
    <xf numFmtId="3" fontId="72" fillId="7" borderId="11" xfId="0" applyNumberFormat="1" applyFont="1" applyFill="1" applyBorder="1" applyAlignment="1" applyProtection="1">
      <alignment horizontal="right" vertical="center" wrapText="1"/>
      <protection locked="0"/>
    </xf>
    <xf numFmtId="3" fontId="72" fillId="7" borderId="26" xfId="0" applyNumberFormat="1" applyFont="1" applyFill="1" applyBorder="1" applyAlignment="1" applyProtection="1">
      <alignment horizontal="right" vertical="center" wrapText="1"/>
      <protection locked="0"/>
    </xf>
    <xf numFmtId="3" fontId="72" fillId="7" borderId="39" xfId="0" applyNumberFormat="1" applyFont="1" applyFill="1" applyBorder="1" applyAlignment="1" applyProtection="1">
      <alignment horizontal="right" vertical="center" wrapText="1"/>
      <protection locked="0"/>
    </xf>
    <xf numFmtId="3" fontId="72" fillId="2" borderId="26" xfId="0" applyNumberFormat="1" applyFont="1" applyFill="1" applyBorder="1" applyAlignment="1">
      <alignment horizontal="right"/>
    </xf>
    <xf numFmtId="3" fontId="72" fillId="0" borderId="27" xfId="0" applyNumberFormat="1" applyFont="1" applyFill="1" applyBorder="1" applyAlignment="1">
      <alignment horizontal="left" vertical="center"/>
    </xf>
    <xf numFmtId="3" fontId="72" fillId="0" borderId="27" xfId="0" quotePrefix="1" applyNumberFormat="1" applyFont="1" applyFill="1" applyBorder="1" applyAlignment="1">
      <alignment horizontal="center" vertical="center"/>
    </xf>
    <xf numFmtId="3" fontId="72" fillId="0" borderId="27" xfId="0" applyNumberFormat="1" applyFont="1" applyFill="1" applyBorder="1" applyAlignment="1">
      <alignment horizontal="right" vertical="center"/>
    </xf>
    <xf numFmtId="3" fontId="72" fillId="0" borderId="27" xfId="0" applyNumberFormat="1" applyFont="1" applyFill="1" applyBorder="1" applyAlignment="1">
      <alignment vertical="center"/>
    </xf>
    <xf numFmtId="3" fontId="72" fillId="0" borderId="0" xfId="0" applyNumberFormat="1" applyFont="1" applyFill="1" applyBorder="1" applyAlignment="1">
      <alignment horizontal="center" vertical="center"/>
    </xf>
    <xf numFmtId="3" fontId="72" fillId="0" borderId="0" xfId="0" applyNumberFormat="1" applyFont="1" applyFill="1" applyBorder="1" applyAlignment="1">
      <alignment vertical="center"/>
    </xf>
    <xf numFmtId="3" fontId="72" fillId="0" borderId="0" xfId="0" applyNumberFormat="1" applyFont="1" applyFill="1" applyBorder="1" applyAlignment="1">
      <alignment horizontal="left" vertical="center" wrapText="1"/>
    </xf>
    <xf numFmtId="3" fontId="72" fillId="0" borderId="0" xfId="0" applyNumberFormat="1" applyFont="1" applyFill="1" applyBorder="1" applyAlignment="1">
      <alignment horizontal="left" vertical="center"/>
    </xf>
    <xf numFmtId="0" fontId="72" fillId="2" borderId="2" xfId="0" applyFont="1" applyFill="1" applyBorder="1" applyAlignment="1">
      <alignment vertical="top" wrapText="1"/>
    </xf>
    <xf numFmtId="3" fontId="72" fillId="2" borderId="2" xfId="0" applyNumberFormat="1" applyFont="1" applyFill="1" applyBorder="1" applyAlignment="1">
      <alignment vertical="top" wrapText="1"/>
    </xf>
    <xf numFmtId="3" fontId="72" fillId="2" borderId="2" xfId="0" quotePrefix="1" applyNumberFormat="1" applyFont="1" applyFill="1" applyBorder="1" applyAlignment="1">
      <alignment vertical="top" wrapText="1"/>
    </xf>
    <xf numFmtId="0" fontId="72" fillId="2" borderId="12" xfId="0" applyFont="1" applyFill="1" applyBorder="1" applyAlignment="1">
      <alignment horizontal="center" vertical="center"/>
    </xf>
    <xf numFmtId="0" fontId="57" fillId="0" borderId="26" xfId="0" applyFont="1" applyBorder="1" applyAlignment="1">
      <alignment vertical="top"/>
    </xf>
    <xf numFmtId="0" fontId="64" fillId="0" borderId="26" xfId="0" applyFont="1" applyBorder="1" applyAlignment="1">
      <alignment vertical="top"/>
    </xf>
    <xf numFmtId="0" fontId="61" fillId="0" borderId="26" xfId="0" applyFont="1" applyBorder="1" applyAlignment="1">
      <alignment vertical="top"/>
    </xf>
    <xf numFmtId="0" fontId="75" fillId="0" borderId="0" xfId="0" applyFont="1" applyAlignment="1">
      <alignment vertical="top"/>
    </xf>
    <xf numFmtId="0" fontId="0" fillId="0" borderId="0" xfId="0" applyAlignment="1">
      <alignment vertical="top"/>
    </xf>
    <xf numFmtId="0" fontId="64" fillId="0" borderId="0" xfId="0" applyFont="1" applyAlignment="1">
      <alignment vertical="top"/>
    </xf>
    <xf numFmtId="0" fontId="66" fillId="0" borderId="0" xfId="0" applyFont="1" applyAlignment="1">
      <alignment vertical="top"/>
    </xf>
    <xf numFmtId="0" fontId="67" fillId="0" borderId="0" xfId="0" applyFont="1" applyAlignment="1">
      <alignment vertical="top"/>
    </xf>
    <xf numFmtId="0" fontId="67" fillId="0" borderId="0" xfId="0" applyFont="1" applyAlignment="1">
      <alignment horizontal="left" vertical="top"/>
    </xf>
    <xf numFmtId="0" fontId="64" fillId="0" borderId="3" xfId="0" applyFont="1" applyFill="1" applyBorder="1" applyAlignment="1">
      <alignment vertical="top"/>
    </xf>
    <xf numFmtId="0" fontId="67" fillId="2" borderId="3" xfId="0" applyFont="1" applyFill="1" applyBorder="1" applyAlignment="1">
      <alignment vertical="top"/>
    </xf>
    <xf numFmtId="0" fontId="70" fillId="2" borderId="3" xfId="0" applyFont="1" applyFill="1" applyBorder="1" applyAlignment="1">
      <alignment vertical="top"/>
    </xf>
    <xf numFmtId="0" fontId="63" fillId="0" borderId="26" xfId="0" applyFont="1" applyBorder="1" applyAlignment="1">
      <alignment vertical="top"/>
    </xf>
    <xf numFmtId="0" fontId="72" fillId="0" borderId="26" xfId="0" applyFont="1" applyBorder="1" applyAlignment="1">
      <alignment vertical="top"/>
    </xf>
    <xf numFmtId="0" fontId="62" fillId="0" borderId="26" xfId="0" applyFont="1" applyBorder="1" applyAlignment="1">
      <alignment vertical="top"/>
    </xf>
    <xf numFmtId="0" fontId="60" fillId="0" borderId="26" xfId="0" applyFont="1" applyBorder="1" applyAlignment="1">
      <alignment vertical="top"/>
    </xf>
    <xf numFmtId="0" fontId="64" fillId="0" borderId="0" xfId="0" applyFont="1" applyBorder="1" applyAlignment="1">
      <alignment vertical="top"/>
    </xf>
    <xf numFmtId="0" fontId="61" fillId="0" borderId="0" xfId="0" applyFont="1" applyBorder="1" applyAlignment="1">
      <alignment vertical="top"/>
    </xf>
    <xf numFmtId="0" fontId="62" fillId="0" borderId="0" xfId="0" applyFont="1" applyBorder="1" applyAlignment="1">
      <alignment vertical="top"/>
    </xf>
    <xf numFmtId="0" fontId="59" fillId="0" borderId="26" xfId="0" applyFont="1" applyBorder="1" applyAlignment="1">
      <alignment vertical="top"/>
    </xf>
    <xf numFmtId="0" fontId="58" fillId="0" borderId="26" xfId="0" applyFont="1" applyBorder="1" applyAlignment="1">
      <alignment vertical="top"/>
    </xf>
    <xf numFmtId="0" fontId="82" fillId="2" borderId="3" xfId="0" applyFont="1" applyFill="1" applyBorder="1" applyAlignment="1">
      <alignment vertical="top"/>
    </xf>
    <xf numFmtId="0" fontId="72" fillId="0" borderId="0" xfId="0" applyFont="1" applyAlignment="1">
      <alignment vertical="top"/>
    </xf>
    <xf numFmtId="0" fontId="72" fillId="0" borderId="0" xfId="0" applyFont="1" applyBorder="1" applyAlignment="1">
      <alignment vertical="top"/>
    </xf>
    <xf numFmtId="0" fontId="56" fillId="0" borderId="26" xfId="0" applyFont="1" applyBorder="1" applyAlignment="1">
      <alignment vertical="top"/>
    </xf>
    <xf numFmtId="3" fontId="72" fillId="0" borderId="2" xfId="0" applyNumberFormat="1" applyFont="1" applyFill="1" applyBorder="1" applyAlignment="1" applyProtection="1">
      <alignment horizontal="right" vertical="center" wrapText="1"/>
      <protection locked="0"/>
    </xf>
    <xf numFmtId="3" fontId="72" fillId="0" borderId="4" xfId="0" applyNumberFormat="1" applyFont="1" applyFill="1" applyBorder="1" applyAlignment="1" applyProtection="1">
      <alignment horizontal="right" vertical="center" wrapText="1"/>
      <protection locked="0"/>
    </xf>
    <xf numFmtId="0" fontId="55" fillId="0" borderId="26" xfId="0" applyFont="1" applyBorder="1" applyAlignment="1">
      <alignment vertical="top"/>
    </xf>
    <xf numFmtId="0" fontId="54" fillId="0" borderId="26" xfId="0" applyFont="1" applyBorder="1" applyAlignment="1">
      <alignment vertical="top"/>
    </xf>
    <xf numFmtId="0" fontId="53" fillId="0" borderId="26" xfId="0" applyFont="1" applyBorder="1" applyAlignment="1">
      <alignment vertical="top"/>
    </xf>
    <xf numFmtId="3" fontId="72" fillId="7" borderId="17" xfId="0" applyNumberFormat="1" applyFont="1" applyFill="1" applyBorder="1" applyAlignment="1" applyProtection="1">
      <alignment horizontal="right" vertical="center" wrapText="1"/>
      <protection locked="0"/>
    </xf>
    <xf numFmtId="3" fontId="77" fillId="7" borderId="15" xfId="0" applyNumberFormat="1" applyFont="1" applyFill="1" applyBorder="1" applyAlignment="1" applyProtection="1">
      <alignment horizontal="right" vertical="center" wrapText="1"/>
      <protection locked="0"/>
    </xf>
    <xf numFmtId="3" fontId="82" fillId="7" borderId="6" xfId="0" applyNumberFormat="1" applyFont="1" applyFill="1" applyBorder="1" applyAlignment="1" applyProtection="1">
      <alignment horizontal="right" vertical="center" wrapText="1"/>
      <protection locked="0"/>
    </xf>
    <xf numFmtId="3" fontId="82" fillId="7" borderId="38" xfId="0" applyNumberFormat="1" applyFont="1" applyFill="1" applyBorder="1" applyAlignment="1" applyProtection="1">
      <alignment horizontal="right" vertical="center" wrapText="1"/>
      <protection locked="0"/>
    </xf>
    <xf numFmtId="3" fontId="82" fillId="0" borderId="25" xfId="0" applyNumberFormat="1" applyFont="1" applyFill="1" applyBorder="1" applyAlignment="1">
      <alignment horizontal="right" vertical="center"/>
    </xf>
    <xf numFmtId="0" fontId="86" fillId="0" borderId="0" xfId="0" applyFont="1" applyAlignment="1">
      <alignment vertical="top" wrapText="1"/>
    </xf>
    <xf numFmtId="0" fontId="86" fillId="0" borderId="0" xfId="0" applyFont="1" applyAlignment="1">
      <alignment horizontal="left" vertical="top" wrapText="1"/>
    </xf>
    <xf numFmtId="0" fontId="86" fillId="0" borderId="0" xfId="0" applyFont="1" applyAlignment="1">
      <alignment wrapText="1"/>
    </xf>
    <xf numFmtId="0" fontId="52" fillId="0" borderId="26" xfId="0" applyFont="1" applyBorder="1" applyAlignment="1">
      <alignment vertical="top"/>
    </xf>
    <xf numFmtId="0" fontId="52" fillId="0" borderId="26" xfId="0" applyFont="1" applyBorder="1" applyAlignment="1">
      <alignment vertical="top" wrapText="1"/>
    </xf>
    <xf numFmtId="0" fontId="72" fillId="0" borderId="26" xfId="0" applyFont="1" applyBorder="1" applyAlignment="1">
      <alignment vertical="top" wrapText="1"/>
    </xf>
    <xf numFmtId="0" fontId="51" fillId="0" borderId="26" xfId="0" applyFont="1" applyBorder="1" applyAlignment="1">
      <alignment vertical="top"/>
    </xf>
    <xf numFmtId="3" fontId="72" fillId="2" borderId="4" xfId="0" quotePrefix="1" applyNumberFormat="1" applyFont="1" applyFill="1" applyBorder="1" applyAlignment="1">
      <alignment horizontal="left" vertical="top" wrapText="1"/>
    </xf>
    <xf numFmtId="3" fontId="72" fillId="2" borderId="2" xfId="0" applyNumberFormat="1" applyFont="1" applyFill="1" applyBorder="1" applyAlignment="1">
      <alignment horizontal="center" vertical="top" wrapText="1"/>
    </xf>
    <xf numFmtId="0" fontId="86" fillId="0" borderId="0" xfId="0" applyFont="1" applyAlignment="1">
      <alignment vertical="top" wrapText="1"/>
    </xf>
    <xf numFmtId="0" fontId="86" fillId="0" borderId="0" xfId="0" applyFont="1" applyAlignment="1">
      <alignment horizontal="left" vertical="top" wrapText="1"/>
    </xf>
    <xf numFmtId="0" fontId="86" fillId="0" borderId="0" xfId="0" applyFont="1" applyAlignment="1">
      <alignment wrapText="1"/>
    </xf>
    <xf numFmtId="3" fontId="87" fillId="0" borderId="26" xfId="0" applyNumberFormat="1" applyFont="1" applyFill="1" applyBorder="1" applyAlignment="1">
      <alignment vertical="center" wrapText="1"/>
    </xf>
    <xf numFmtId="3" fontId="84" fillId="0" borderId="21" xfId="0" applyNumberFormat="1" applyFont="1" applyFill="1" applyBorder="1"/>
    <xf numFmtId="3" fontId="89" fillId="0" borderId="21" xfId="0" applyNumberFormat="1" applyFont="1" applyFill="1" applyBorder="1" applyAlignment="1">
      <alignment vertical="center"/>
    </xf>
    <xf numFmtId="0" fontId="75" fillId="0" borderId="0" xfId="0" applyFont="1"/>
    <xf numFmtId="0" fontId="78" fillId="0" borderId="0" xfId="0" applyFont="1" applyAlignment="1">
      <alignment horizontal="center" vertical="center"/>
    </xf>
    <xf numFmtId="0" fontId="78" fillId="0" borderId="0" xfId="0" applyFont="1" applyAlignment="1">
      <alignment horizontal="left" vertical="center"/>
    </xf>
    <xf numFmtId="0" fontId="50" fillId="0" borderId="26" xfId="0" applyFont="1" applyBorder="1" applyAlignment="1">
      <alignment vertical="top"/>
    </xf>
    <xf numFmtId="0" fontId="79" fillId="0" borderId="26" xfId="0" applyFont="1" applyBorder="1" applyAlignment="1">
      <alignment vertical="top"/>
    </xf>
    <xf numFmtId="3" fontId="72" fillId="0" borderId="26" xfId="0" quotePrefix="1" applyNumberFormat="1" applyFont="1" applyFill="1" applyBorder="1" applyAlignment="1">
      <alignment horizontal="left" vertical="center"/>
    </xf>
    <xf numFmtId="0" fontId="0" fillId="0" borderId="0" xfId="0"/>
    <xf numFmtId="0" fontId="86" fillId="0" borderId="0" xfId="0" applyFont="1" applyAlignment="1">
      <alignment horizontal="left" vertical="top" wrapText="1"/>
    </xf>
    <xf numFmtId="0" fontId="69" fillId="10" borderId="0" xfId="0" applyFont="1" applyFill="1" applyBorder="1" applyAlignment="1">
      <alignment horizontal="center" vertical="center"/>
    </xf>
    <xf numFmtId="0" fontId="54" fillId="0" borderId="0" xfId="0" applyFont="1" applyBorder="1" applyAlignment="1">
      <alignment vertical="top"/>
    </xf>
    <xf numFmtId="1" fontId="72" fillId="0" borderId="37" xfId="0" applyNumberFormat="1" applyFont="1" applyBorder="1" applyAlignment="1">
      <alignment horizontal="right" vertical="center"/>
    </xf>
    <xf numFmtId="165" fontId="72" fillId="0" borderId="37" xfId="0" applyNumberFormat="1" applyFont="1" applyBorder="1" applyAlignment="1">
      <alignment vertical="center"/>
    </xf>
    <xf numFmtId="0" fontId="72" fillId="0" borderId="37" xfId="0" applyFont="1" applyBorder="1" applyAlignment="1">
      <alignment horizontal="left" vertical="center"/>
    </xf>
    <xf numFmtId="3" fontId="47" fillId="0" borderId="26" xfId="0" applyNumberFormat="1" applyFont="1" applyFill="1" applyBorder="1" applyAlignment="1">
      <alignment horizontal="left" vertical="top"/>
    </xf>
    <xf numFmtId="3" fontId="47" fillId="2" borderId="26" xfId="0" applyNumberFormat="1" applyFont="1" applyFill="1" applyBorder="1" applyAlignment="1">
      <alignment horizontal="left" vertical="center"/>
    </xf>
    <xf numFmtId="0" fontId="47" fillId="0" borderId="26" xfId="0" applyFont="1" applyBorder="1" applyAlignment="1">
      <alignment vertical="top"/>
    </xf>
    <xf numFmtId="0" fontId="46" fillId="0" borderId="26" xfId="0" applyFont="1" applyBorder="1" applyAlignment="1">
      <alignment vertical="top" wrapText="1"/>
    </xf>
    <xf numFmtId="0" fontId="46" fillId="0" borderId="26" xfId="0" applyFont="1" applyBorder="1" applyAlignment="1">
      <alignment vertical="top"/>
    </xf>
    <xf numFmtId="0" fontId="45" fillId="0" borderId="26" xfId="0" applyFont="1" applyBorder="1" applyAlignment="1">
      <alignment vertical="top"/>
    </xf>
    <xf numFmtId="166" fontId="72" fillId="0" borderId="0" xfId="0" quotePrefix="1" applyNumberFormat="1" applyFont="1" applyAlignment="1">
      <alignment horizontal="left"/>
    </xf>
    <xf numFmtId="0" fontId="43" fillId="0" borderId="26" xfId="0" applyFont="1" applyBorder="1" applyAlignment="1">
      <alignment vertical="top"/>
    </xf>
    <xf numFmtId="0" fontId="42" fillId="0" borderId="26" xfId="0" applyFont="1" applyBorder="1" applyAlignment="1">
      <alignment vertical="top"/>
    </xf>
    <xf numFmtId="0" fontId="41" fillId="0" borderId="26" xfId="0" applyFont="1" applyBorder="1" applyAlignment="1">
      <alignment vertical="top"/>
    </xf>
    <xf numFmtId="0" fontId="40" fillId="0" borderId="26" xfId="0" applyFont="1" applyBorder="1" applyAlignment="1">
      <alignment vertical="top"/>
    </xf>
    <xf numFmtId="0" fontId="39" fillId="0" borderId="26" xfId="0" applyFont="1" applyBorder="1" applyAlignment="1">
      <alignment vertical="top"/>
    </xf>
    <xf numFmtId="0" fontId="38" fillId="0" borderId="26" xfId="0" applyFont="1" applyBorder="1" applyAlignment="1">
      <alignment vertical="top"/>
    </xf>
    <xf numFmtId="0" fontId="37" fillId="0" borderId="26" xfId="0" applyFont="1" applyBorder="1" applyAlignment="1">
      <alignment vertical="top"/>
    </xf>
    <xf numFmtId="0" fontId="36" fillId="0" borderId="26" xfId="0" applyFont="1" applyBorder="1" applyAlignment="1">
      <alignment vertical="top"/>
    </xf>
    <xf numFmtId="3" fontId="72" fillId="11" borderId="6" xfId="0" applyNumberFormat="1" applyFont="1" applyFill="1" applyBorder="1" applyAlignment="1" applyProtection="1">
      <alignment horizontal="right" vertical="center" wrapText="1"/>
      <protection locked="0"/>
    </xf>
    <xf numFmtId="3" fontId="72" fillId="11" borderId="11" xfId="0" applyNumberFormat="1" applyFont="1" applyFill="1" applyBorder="1" applyAlignment="1" applyProtection="1">
      <alignment horizontal="right" vertical="center" wrapText="1"/>
      <protection locked="0"/>
    </xf>
    <xf numFmtId="3" fontId="72" fillId="11" borderId="9" xfId="0" applyNumberFormat="1" applyFont="1" applyFill="1" applyBorder="1" applyAlignment="1" applyProtection="1">
      <alignment horizontal="right" vertical="center" wrapText="1"/>
      <protection locked="0"/>
    </xf>
    <xf numFmtId="3" fontId="72" fillId="11" borderId="15" xfId="0" applyNumberFormat="1" applyFont="1" applyFill="1" applyBorder="1" applyAlignment="1" applyProtection="1">
      <alignment horizontal="right" vertical="center" wrapText="1"/>
      <protection locked="0"/>
    </xf>
    <xf numFmtId="3" fontId="84" fillId="0" borderId="26" xfId="0" quotePrefix="1" applyNumberFormat="1" applyFont="1" applyFill="1" applyBorder="1" applyAlignment="1">
      <alignment vertical="center"/>
    </xf>
    <xf numFmtId="3" fontId="72" fillId="7" borderId="8" xfId="0" applyNumberFormat="1" applyFont="1" applyFill="1" applyBorder="1" applyAlignment="1" applyProtection="1">
      <alignment horizontal="right" vertical="center" wrapText="1"/>
      <protection locked="0"/>
    </xf>
    <xf numFmtId="3" fontId="72" fillId="7" borderId="16" xfId="0" applyNumberFormat="1" applyFont="1" applyFill="1" applyBorder="1" applyAlignment="1" applyProtection="1">
      <alignment horizontal="right" vertical="center" wrapText="1"/>
      <protection locked="0"/>
    </xf>
    <xf numFmtId="3" fontId="72" fillId="12" borderId="26" xfId="0" applyNumberFormat="1" applyFont="1" applyFill="1" applyBorder="1" applyAlignment="1">
      <alignment vertical="center"/>
    </xf>
    <xf numFmtId="3" fontId="72" fillId="0" borderId="12" xfId="0" applyNumberFormat="1" applyFont="1" applyFill="1" applyBorder="1" applyAlignment="1" applyProtection="1">
      <alignment horizontal="right" vertical="center" wrapText="1"/>
      <protection locked="0"/>
    </xf>
    <xf numFmtId="3" fontId="72" fillId="2" borderId="21" xfId="0" applyNumberFormat="1" applyFont="1" applyFill="1" applyBorder="1" applyAlignment="1">
      <alignment horizontal="right" vertical="center"/>
    </xf>
    <xf numFmtId="3" fontId="72" fillId="0" borderId="15" xfId="0" applyNumberFormat="1" applyFont="1" applyFill="1" applyBorder="1" applyAlignment="1" applyProtection="1">
      <alignment horizontal="right" vertical="center" wrapText="1"/>
      <protection locked="0"/>
    </xf>
    <xf numFmtId="3" fontId="72" fillId="0" borderId="3" xfId="0" applyNumberFormat="1" applyFont="1" applyFill="1" applyBorder="1" applyAlignment="1" applyProtection="1">
      <alignment horizontal="right" vertical="center" wrapText="1"/>
      <protection locked="0"/>
    </xf>
    <xf numFmtId="3" fontId="72" fillId="0" borderId="5" xfId="0" applyNumberFormat="1" applyFont="1" applyFill="1" applyBorder="1" applyAlignment="1" applyProtection="1">
      <alignment horizontal="right" vertical="center" wrapText="1"/>
      <protection locked="0"/>
    </xf>
    <xf numFmtId="9" fontId="72" fillId="0" borderId="0" xfId="1" applyFont="1" applyFill="1" applyBorder="1" applyAlignment="1">
      <alignment horizontal="left" vertical="top" wrapText="1"/>
    </xf>
    <xf numFmtId="9" fontId="72" fillId="0" borderId="0" xfId="1" applyFont="1" applyFill="1" applyBorder="1" applyAlignment="1">
      <alignment vertical="center"/>
    </xf>
    <xf numFmtId="9" fontId="72" fillId="0" borderId="42" xfId="1" applyFont="1" applyFill="1" applyBorder="1" applyAlignment="1">
      <alignment vertical="center"/>
    </xf>
    <xf numFmtId="9" fontId="72" fillId="0" borderId="21" xfId="1" applyFont="1" applyFill="1" applyBorder="1" applyAlignment="1">
      <alignment vertical="center"/>
    </xf>
    <xf numFmtId="9" fontId="82" fillId="0" borderId="26" xfId="1" applyFont="1" applyFill="1" applyBorder="1" applyAlignment="1">
      <alignment vertical="center"/>
    </xf>
    <xf numFmtId="9" fontId="72" fillId="0" borderId="26" xfId="1" applyFont="1" applyFill="1" applyBorder="1" applyAlignment="1">
      <alignment vertical="center"/>
    </xf>
    <xf numFmtId="9" fontId="72" fillId="2" borderId="26" xfId="1" applyFont="1" applyFill="1" applyBorder="1" applyAlignment="1">
      <alignment vertical="center"/>
    </xf>
    <xf numFmtId="9" fontId="82" fillId="0" borderId="27" xfId="1" applyFont="1" applyFill="1" applyBorder="1" applyAlignment="1">
      <alignment vertical="center"/>
    </xf>
    <xf numFmtId="0" fontId="34" fillId="0" borderId="0" xfId="0" applyFont="1"/>
    <xf numFmtId="3" fontId="77" fillId="7" borderId="2" xfId="0" applyNumberFormat="1" applyFont="1" applyFill="1" applyBorder="1" applyAlignment="1" applyProtection="1">
      <alignment horizontal="right" vertical="center" wrapText="1"/>
      <protection locked="0"/>
    </xf>
    <xf numFmtId="3" fontId="72" fillId="2" borderId="0" xfId="0" applyNumberFormat="1" applyFont="1" applyFill="1" applyBorder="1" applyAlignment="1">
      <alignment horizontal="left" vertical="center" wrapText="1"/>
    </xf>
    <xf numFmtId="0" fontId="32" fillId="0" borderId="26" xfId="0" applyFont="1" applyBorder="1" applyAlignment="1">
      <alignment vertical="top"/>
    </xf>
    <xf numFmtId="3" fontId="72" fillId="2" borderId="0" xfId="0" applyNumberFormat="1" applyFont="1" applyFill="1" applyBorder="1" applyAlignment="1">
      <alignment vertical="center" wrapText="1"/>
    </xf>
    <xf numFmtId="0" fontId="82" fillId="5" borderId="0" xfId="0" applyFont="1" applyFill="1" applyBorder="1"/>
    <xf numFmtId="0" fontId="82" fillId="5" borderId="0" xfId="0" applyFont="1" applyFill="1" applyBorder="1" applyAlignment="1">
      <alignment vertical="center" wrapText="1"/>
    </xf>
    <xf numFmtId="0" fontId="68" fillId="0" borderId="0" xfId="0" applyFont="1" applyBorder="1" applyAlignment="1">
      <alignment horizontal="left" vertical="top" wrapText="1"/>
    </xf>
    <xf numFmtId="0" fontId="31" fillId="0" borderId="26" xfId="0" applyFont="1" applyBorder="1" applyAlignment="1">
      <alignment vertical="top"/>
    </xf>
    <xf numFmtId="0" fontId="69" fillId="0" borderId="0" xfId="0" applyFont="1"/>
    <xf numFmtId="0" fontId="30" fillId="0" borderId="26" xfId="0" applyFont="1" applyBorder="1" applyAlignment="1">
      <alignment vertical="top"/>
    </xf>
    <xf numFmtId="0" fontId="29" fillId="0" borderId="26" xfId="0" applyFont="1" applyBorder="1" applyAlignment="1">
      <alignment vertical="top"/>
    </xf>
    <xf numFmtId="0" fontId="29" fillId="0" borderId="26" xfId="0" applyFont="1" applyBorder="1" applyAlignment="1">
      <alignment vertical="top" wrapText="1"/>
    </xf>
    <xf numFmtId="3" fontId="72" fillId="0" borderId="6" xfId="0" applyNumberFormat="1" applyFont="1" applyFill="1" applyBorder="1" applyAlignment="1">
      <alignment horizontal="left" vertical="center" wrapText="1"/>
    </xf>
    <xf numFmtId="3" fontId="72" fillId="0" borderId="1" xfId="0" applyNumberFormat="1" applyFont="1" applyFill="1" applyBorder="1" applyAlignment="1">
      <alignment horizontal="center" vertical="center" wrapText="1"/>
    </xf>
    <xf numFmtId="3" fontId="72" fillId="0" borderId="1" xfId="0" applyNumberFormat="1" applyFont="1" applyFill="1" applyBorder="1" applyAlignment="1">
      <alignment horizontal="left" vertical="center" wrapText="1"/>
    </xf>
    <xf numFmtId="0" fontId="72" fillId="0" borderId="1" xfId="0" applyFont="1" applyFill="1" applyBorder="1" applyAlignment="1">
      <alignment vertical="center" wrapText="1"/>
    </xf>
    <xf numFmtId="3" fontId="72" fillId="2" borderId="32" xfId="0" applyNumberFormat="1" applyFont="1" applyFill="1" applyBorder="1" applyAlignment="1">
      <alignment vertical="center" wrapText="1"/>
    </xf>
    <xf numFmtId="3" fontId="72" fillId="2" borderId="29" xfId="0" applyNumberFormat="1" applyFont="1" applyFill="1" applyBorder="1" applyAlignment="1">
      <alignment vertical="center" textRotation="90" wrapText="1"/>
    </xf>
    <xf numFmtId="3" fontId="72" fillId="2" borderId="29" xfId="0" applyNumberFormat="1" applyFont="1" applyFill="1" applyBorder="1" applyAlignment="1">
      <alignment horizontal="left" vertical="center" wrapText="1"/>
    </xf>
    <xf numFmtId="0" fontId="72" fillId="2" borderId="29" xfId="0" applyFont="1" applyFill="1" applyBorder="1" applyAlignment="1">
      <alignment horizontal="center" vertical="center" wrapText="1"/>
    </xf>
    <xf numFmtId="14" fontId="72" fillId="2" borderId="29" xfId="0" applyNumberFormat="1" applyFont="1" applyFill="1" applyBorder="1" applyAlignment="1">
      <alignment horizontal="center" vertical="center" wrapText="1"/>
    </xf>
    <xf numFmtId="0" fontId="72" fillId="2" borderId="29" xfId="0" applyFont="1" applyFill="1" applyBorder="1" applyAlignment="1">
      <alignment vertical="center"/>
    </xf>
    <xf numFmtId="167" fontId="72" fillId="2" borderId="29" xfId="0" applyNumberFormat="1" applyFont="1" applyFill="1" applyBorder="1" applyAlignment="1">
      <alignment horizontal="center" vertical="center"/>
    </xf>
    <xf numFmtId="167" fontId="72" fillId="2" borderId="44" xfId="0" applyNumberFormat="1" applyFont="1" applyFill="1" applyBorder="1" applyAlignment="1">
      <alignment horizontal="center" vertical="center"/>
    </xf>
    <xf numFmtId="1" fontId="34" fillId="2" borderId="34" xfId="0" applyNumberFormat="1" applyFont="1" applyFill="1" applyBorder="1" applyAlignment="1">
      <alignment vertical="center"/>
    </xf>
    <xf numFmtId="0" fontId="28" fillId="0" borderId="26" xfId="0" applyFont="1" applyBorder="1" applyAlignment="1">
      <alignment vertical="top"/>
    </xf>
    <xf numFmtId="0" fontId="72" fillId="0" borderId="26" xfId="0" applyFont="1" applyFill="1" applyBorder="1" applyAlignment="1">
      <alignment vertical="top"/>
    </xf>
    <xf numFmtId="165" fontId="72" fillId="0" borderId="37" xfId="0" applyNumberFormat="1" applyFont="1" applyFill="1" applyBorder="1" applyAlignment="1">
      <alignment vertical="center"/>
    </xf>
    <xf numFmtId="0" fontId="72" fillId="0" borderId="37" xfId="0" applyFont="1" applyFill="1" applyBorder="1" applyAlignment="1">
      <alignment horizontal="left" vertical="center"/>
    </xf>
    <xf numFmtId="0" fontId="100" fillId="0" borderId="0" xfId="0" applyFont="1"/>
    <xf numFmtId="0" fontId="100" fillId="0" borderId="0" xfId="0" applyFont="1" applyAlignment="1">
      <alignment vertical="center"/>
    </xf>
    <xf numFmtId="0" fontId="25" fillId="0" borderId="26" xfId="0" applyFont="1" applyBorder="1" applyAlignment="1">
      <alignment vertical="top" wrapText="1"/>
    </xf>
    <xf numFmtId="0" fontId="24" fillId="0" borderId="0" xfId="0" applyFont="1" applyAlignment="1">
      <alignment vertical="top"/>
    </xf>
    <xf numFmtId="0" fontId="101" fillId="0" borderId="0" xfId="0" applyFont="1" applyAlignment="1">
      <alignment vertical="top"/>
    </xf>
    <xf numFmtId="0" fontId="76" fillId="0" borderId="0" xfId="4" applyFill="1" applyBorder="1" applyAlignment="1">
      <alignment horizontal="left" vertical="center"/>
    </xf>
    <xf numFmtId="0" fontId="34" fillId="0" borderId="0" xfId="0" applyFont="1" applyFill="1" applyAlignment="1">
      <alignment vertical="center"/>
    </xf>
    <xf numFmtId="1" fontId="72" fillId="0" borderId="37" xfId="0" applyNumberFormat="1" applyFont="1" applyFill="1" applyBorder="1" applyAlignment="1">
      <alignment horizontal="right" vertical="center"/>
    </xf>
    <xf numFmtId="0" fontId="72" fillId="0" borderId="37" xfId="0" applyFont="1" applyFill="1" applyBorder="1" applyAlignment="1">
      <alignment vertical="center"/>
    </xf>
    <xf numFmtId="0" fontId="75" fillId="0" borderId="0" xfId="0" applyFont="1" applyFill="1" applyAlignment="1">
      <alignment vertical="center"/>
    </xf>
    <xf numFmtId="0" fontId="75" fillId="0" borderId="0" xfId="0" applyFont="1" applyFill="1"/>
    <xf numFmtId="0" fontId="23" fillId="0" borderId="26" xfId="0" applyFont="1" applyBorder="1" applyAlignment="1">
      <alignment vertical="top"/>
    </xf>
    <xf numFmtId="0" fontId="21" fillId="0" borderId="26" xfId="0" applyFont="1" applyBorder="1" applyAlignment="1">
      <alignment vertical="top"/>
    </xf>
    <xf numFmtId="0" fontId="21" fillId="0" borderId="26" xfId="0" applyFont="1" applyBorder="1" applyAlignment="1">
      <alignment vertical="top" wrapText="1"/>
    </xf>
    <xf numFmtId="0" fontId="20" fillId="0" borderId="26" xfId="0" applyFont="1" applyBorder="1" applyAlignment="1">
      <alignment vertical="top"/>
    </xf>
    <xf numFmtId="0" fontId="20" fillId="0" borderId="26" xfId="0" applyFont="1" applyBorder="1" applyAlignment="1">
      <alignment vertical="top" wrapText="1"/>
    </xf>
    <xf numFmtId="0" fontId="19" fillId="0" borderId="26" xfId="0" applyFont="1" applyBorder="1" applyAlignment="1">
      <alignment vertical="top"/>
    </xf>
    <xf numFmtId="0" fontId="18" fillId="0" borderId="26" xfId="0" applyFont="1" applyBorder="1" applyAlignment="1">
      <alignment vertical="top"/>
    </xf>
    <xf numFmtId="0" fontId="18" fillId="0" borderId="26" xfId="0" applyFont="1" applyBorder="1" applyAlignment="1">
      <alignment vertical="top" wrapText="1"/>
    </xf>
    <xf numFmtId="0" fontId="18" fillId="0" borderId="0" xfId="0" applyFont="1" applyBorder="1" applyAlignment="1">
      <alignment vertical="top"/>
    </xf>
    <xf numFmtId="0" fontId="55" fillId="0" borderId="0" xfId="0" applyFont="1" applyBorder="1" applyAlignment="1">
      <alignment vertical="top"/>
    </xf>
    <xf numFmtId="0" fontId="29" fillId="0" borderId="0" xfId="0" applyFont="1" applyBorder="1" applyAlignment="1">
      <alignment vertical="top"/>
    </xf>
    <xf numFmtId="0" fontId="29" fillId="0" borderId="0" xfId="0" applyFont="1" applyBorder="1" applyAlignment="1">
      <alignment vertical="top" wrapText="1"/>
    </xf>
    <xf numFmtId="0" fontId="19" fillId="0" borderId="0" xfId="0" applyFont="1" applyBorder="1" applyAlignment="1">
      <alignment vertical="top"/>
    </xf>
    <xf numFmtId="0" fontId="17" fillId="0" borderId="26" xfId="0" applyFont="1" applyBorder="1" applyAlignment="1">
      <alignment vertical="top"/>
    </xf>
    <xf numFmtId="0" fontId="17" fillId="0" borderId="26" xfId="0" applyFont="1" applyBorder="1" applyAlignment="1">
      <alignment vertical="top" wrapText="1"/>
    </xf>
    <xf numFmtId="0" fontId="16" fillId="0" borderId="26" xfId="0" applyFont="1" applyBorder="1" applyAlignment="1">
      <alignment vertical="top"/>
    </xf>
    <xf numFmtId="0" fontId="16" fillId="0" borderId="26" xfId="0" applyFont="1" applyBorder="1" applyAlignment="1">
      <alignment vertical="top" wrapText="1"/>
    </xf>
    <xf numFmtId="0" fontId="15" fillId="0" borderId="26" xfId="0" applyFont="1" applyBorder="1" applyAlignment="1">
      <alignment vertical="top"/>
    </xf>
    <xf numFmtId="0" fontId="14" fillId="0" borderId="26" xfId="0" applyFont="1" applyBorder="1" applyAlignment="1">
      <alignment vertical="top"/>
    </xf>
    <xf numFmtId="0" fontId="14" fillId="0" borderId="26" xfId="0" applyFont="1" applyBorder="1" applyAlignment="1">
      <alignment vertical="top" wrapText="1"/>
    </xf>
    <xf numFmtId="0" fontId="13" fillId="0" borderId="0" xfId="0" applyFont="1" applyAlignment="1">
      <alignment vertical="top"/>
    </xf>
    <xf numFmtId="0" fontId="13" fillId="0" borderId="26" xfId="0" applyFont="1" applyBorder="1" applyAlignment="1">
      <alignment vertical="top"/>
    </xf>
    <xf numFmtId="0" fontId="12" fillId="0" borderId="26" xfId="0" applyFont="1" applyBorder="1" applyAlignment="1">
      <alignment vertical="top"/>
    </xf>
    <xf numFmtId="0" fontId="11" fillId="0" borderId="37" xfId="0" applyFont="1" applyBorder="1"/>
    <xf numFmtId="0" fontId="11" fillId="0" borderId="26" xfId="0" applyFont="1" applyBorder="1" applyAlignment="1">
      <alignment vertical="top"/>
    </xf>
    <xf numFmtId="3" fontId="72" fillId="0" borderId="21" xfId="0" applyNumberFormat="1" applyFont="1" applyBorder="1" applyAlignment="1">
      <alignment horizontal="left" vertical="center"/>
    </xf>
    <xf numFmtId="3" fontId="72" fillId="0" borderId="26" xfId="0" applyNumberFormat="1" applyFont="1" applyBorder="1" applyAlignment="1">
      <alignment vertical="center"/>
    </xf>
    <xf numFmtId="3" fontId="82" fillId="0" borderId="26" xfId="61" applyNumberFormat="1" applyFont="1" applyBorder="1" applyAlignment="1">
      <alignment horizontal="right" vertical="center"/>
    </xf>
    <xf numFmtId="3" fontId="72" fillId="0" borderId="28" xfId="0" applyNumberFormat="1" applyFont="1" applyBorder="1" applyAlignment="1">
      <alignment horizontal="right" vertical="center"/>
    </xf>
    <xf numFmtId="3" fontId="72" fillId="0" borderId="0" xfId="0" applyNumberFormat="1" applyFont="1" applyAlignment="1">
      <alignment horizontal="right" vertical="center"/>
    </xf>
    <xf numFmtId="0" fontId="82" fillId="0" borderId="26" xfId="0" applyFont="1" applyBorder="1" applyAlignment="1">
      <alignment horizontal="left" vertical="center"/>
    </xf>
    <xf numFmtId="3" fontId="82" fillId="0" borderId="26" xfId="0" applyNumberFormat="1" applyFont="1" applyBorder="1" applyAlignment="1">
      <alignment horizontal="left" vertical="center"/>
    </xf>
    <xf numFmtId="0" fontId="72" fillId="0" borderId="26" xfId="0" applyFont="1" applyBorder="1" applyAlignment="1">
      <alignment vertical="center"/>
    </xf>
    <xf numFmtId="3" fontId="77" fillId="0" borderId="26" xfId="0" applyNumberFormat="1" applyFont="1" applyBorder="1" applyAlignment="1">
      <alignment vertical="center"/>
    </xf>
    <xf numFmtId="3" fontId="72" fillId="0" borderId="26" xfId="0" applyNumberFormat="1" applyFont="1" applyBorder="1" applyAlignment="1">
      <alignment horizontal="left" vertical="center"/>
    </xf>
    <xf numFmtId="3" fontId="82" fillId="0" borderId="26" xfId="0" applyNumberFormat="1" applyFont="1" applyBorder="1" applyAlignment="1">
      <alignment vertical="center"/>
    </xf>
    <xf numFmtId="3" fontId="72" fillId="0" borderId="26" xfId="0" quotePrefix="1" applyNumberFormat="1" applyFont="1" applyBorder="1" applyAlignment="1">
      <alignment horizontal="left" vertical="center"/>
    </xf>
    <xf numFmtId="0" fontId="77" fillId="0" borderId="26" xfId="0" applyFont="1" applyBorder="1" applyAlignment="1">
      <alignment vertical="center"/>
    </xf>
    <xf numFmtId="0" fontId="82" fillId="0" borderId="26" xfId="0" applyFont="1" applyBorder="1" applyAlignment="1">
      <alignment vertical="center"/>
    </xf>
    <xf numFmtId="14" fontId="82" fillId="0" borderId="26" xfId="0" applyNumberFormat="1" applyFont="1" applyBorder="1" applyAlignment="1">
      <alignment vertical="center"/>
    </xf>
    <xf numFmtId="3" fontId="77" fillId="0" borderId="26" xfId="0" applyNumberFormat="1" applyFont="1" applyBorder="1" applyAlignment="1">
      <alignment horizontal="left" vertical="center"/>
    </xf>
    <xf numFmtId="3" fontId="82" fillId="0" borderId="0" xfId="61" applyNumberFormat="1" applyFont="1" applyAlignment="1">
      <alignment horizontal="right" vertical="center"/>
    </xf>
    <xf numFmtId="3" fontId="72" fillId="0" borderId="26" xfId="0" applyNumberFormat="1" applyFont="1" applyBorder="1" applyAlignment="1">
      <alignment horizontal="left" vertical="top"/>
    </xf>
    <xf numFmtId="3" fontId="72" fillId="0" borderId="0" xfId="61" applyNumberFormat="1" applyFont="1" applyAlignment="1" applyProtection="1">
      <alignment horizontal="right" vertical="center" wrapText="1"/>
      <protection locked="0"/>
    </xf>
    <xf numFmtId="0" fontId="72" fillId="0" borderId="26" xfId="0" applyFont="1" applyBorder="1" applyAlignment="1">
      <alignment horizontal="left" vertical="center" wrapText="1"/>
    </xf>
    <xf numFmtId="0" fontId="84" fillId="0" borderId="26" xfId="0" applyFont="1" applyBorder="1" applyAlignment="1">
      <alignment vertical="center"/>
    </xf>
    <xf numFmtId="3" fontId="82" fillId="0" borderId="21" xfId="61" applyNumberFormat="1" applyFont="1" applyBorder="1" applyAlignment="1">
      <alignment horizontal="right" vertical="center"/>
    </xf>
    <xf numFmtId="3" fontId="72" fillId="0" borderId="28" xfId="61" applyNumberFormat="1" applyFont="1" applyBorder="1" applyAlignment="1">
      <alignment horizontal="right" vertical="center"/>
    </xf>
    <xf numFmtId="3" fontId="72" fillId="0" borderId="26" xfId="61" applyNumberFormat="1" applyFont="1" applyBorder="1" applyAlignment="1">
      <alignment horizontal="left" vertical="center"/>
    </xf>
    <xf numFmtId="0" fontId="10" fillId="0" borderId="26" xfId="0" applyFont="1" applyBorder="1" applyAlignment="1">
      <alignment vertical="top"/>
    </xf>
    <xf numFmtId="3" fontId="72" fillId="0" borderId="0" xfId="61" applyNumberFormat="1" applyFont="1" applyAlignment="1">
      <alignment horizontal="right" vertical="center"/>
    </xf>
    <xf numFmtId="0" fontId="77" fillId="0" borderId="26" xfId="0" applyFont="1" applyBorder="1" applyAlignment="1">
      <alignment horizontal="left" vertical="center"/>
    </xf>
    <xf numFmtId="3" fontId="72" fillId="0" borderId="21" xfId="61" applyNumberFormat="1" applyFont="1" applyBorder="1" applyAlignment="1">
      <alignment horizontal="left" vertical="center"/>
    </xf>
    <xf numFmtId="0" fontId="72" fillId="0" borderId="0" xfId="0" applyFont="1" applyAlignment="1">
      <alignment horizontal="left" vertical="center"/>
    </xf>
    <xf numFmtId="3" fontId="103" fillId="0" borderId="26" xfId="0" applyNumberFormat="1" applyFont="1" applyBorder="1" applyAlignment="1">
      <alignment horizontal="left" vertical="center"/>
    </xf>
    <xf numFmtId="9" fontId="82" fillId="0" borderId="26" xfId="63" applyFont="1" applyFill="1" applyBorder="1" applyAlignment="1">
      <alignment vertical="center"/>
    </xf>
    <xf numFmtId="3" fontId="72" fillId="0" borderId="21" xfId="0" applyNumberFormat="1" applyFont="1" applyBorder="1" applyAlignment="1">
      <alignment horizontal="right" vertical="center"/>
    </xf>
    <xf numFmtId="0" fontId="72" fillId="0" borderId="21" xfId="0" applyFont="1" applyBorder="1" applyAlignment="1">
      <alignment vertical="center"/>
    </xf>
    <xf numFmtId="0" fontId="72" fillId="0" borderId="28" xfId="0" applyFont="1" applyBorder="1" applyAlignment="1">
      <alignment vertical="center"/>
    </xf>
    <xf numFmtId="0" fontId="72" fillId="0" borderId="26" xfId="0" applyFont="1" applyBorder="1" applyAlignment="1">
      <alignment horizontal="left" vertical="center"/>
    </xf>
    <xf numFmtId="3" fontId="82" fillId="0" borderId="0" xfId="61" applyNumberFormat="1" applyFont="1" applyAlignment="1" applyProtection="1">
      <alignment horizontal="right" vertical="center" wrapText="1"/>
      <protection locked="0"/>
    </xf>
    <xf numFmtId="3" fontId="103" fillId="0" borderId="26" xfId="0" applyNumberFormat="1" applyFont="1" applyBorder="1" applyAlignment="1">
      <alignment horizontal="left" vertical="top"/>
    </xf>
    <xf numFmtId="3" fontId="72" fillId="0" borderId="10" xfId="61" applyNumberFormat="1" applyFont="1" applyBorder="1" applyAlignment="1" applyProtection="1">
      <alignment horizontal="right" vertical="center" wrapText="1"/>
      <protection locked="0"/>
    </xf>
    <xf numFmtId="3" fontId="72" fillId="0" borderId="21" xfId="61" applyNumberFormat="1" applyFont="1" applyBorder="1" applyAlignment="1">
      <alignment horizontal="right" vertical="center"/>
    </xf>
    <xf numFmtId="3" fontId="72" fillId="0" borderId="28" xfId="61" applyNumberFormat="1" applyFont="1" applyBorder="1" applyAlignment="1" applyProtection="1">
      <alignment horizontal="right" vertical="center" wrapText="1"/>
      <protection locked="0"/>
    </xf>
    <xf numFmtId="0" fontId="72" fillId="0" borderId="27" xfId="0" applyFont="1" applyBorder="1" applyAlignment="1">
      <alignment vertical="center"/>
    </xf>
    <xf numFmtId="3" fontId="82" fillId="0" borderId="0" xfId="0" applyNumberFormat="1" applyFont="1" applyAlignment="1">
      <alignment horizontal="right" vertical="center"/>
    </xf>
    <xf numFmtId="3" fontId="72" fillId="0" borderId="39" xfId="0" applyNumberFormat="1" applyFont="1" applyBorder="1" applyAlignment="1">
      <alignment horizontal="right" vertical="center"/>
    </xf>
    <xf numFmtId="3" fontId="84" fillId="0" borderId="26" xfId="0" applyNumberFormat="1" applyFont="1" applyFill="1" applyBorder="1" applyAlignment="1">
      <alignment vertical="center"/>
    </xf>
    <xf numFmtId="0" fontId="84" fillId="0" borderId="26" xfId="0" applyFont="1" applyBorder="1" applyAlignment="1">
      <alignment horizontal="left" vertical="center"/>
    </xf>
    <xf numFmtId="3" fontId="72" fillId="0" borderId="9" xfId="0" applyNumberFormat="1" applyFont="1" applyFill="1" applyBorder="1" applyAlignment="1" applyProtection="1">
      <alignment horizontal="right" vertical="center" wrapText="1"/>
      <protection locked="0"/>
    </xf>
    <xf numFmtId="3" fontId="72" fillId="0" borderId="45" xfId="0" applyNumberFormat="1" applyFont="1" applyFill="1" applyBorder="1" applyAlignment="1" applyProtection="1">
      <alignment horizontal="right" vertical="center" wrapText="1"/>
      <protection locked="0"/>
    </xf>
    <xf numFmtId="3" fontId="72" fillId="0" borderId="30" xfId="0" applyNumberFormat="1" applyFont="1" applyFill="1" applyBorder="1" applyAlignment="1" applyProtection="1">
      <alignment horizontal="right" vertical="center" wrapText="1"/>
      <protection locked="0"/>
    </xf>
    <xf numFmtId="3" fontId="72" fillId="0" borderId="11" xfId="0" applyNumberFormat="1" applyFont="1" applyFill="1" applyBorder="1" applyAlignment="1" applyProtection="1">
      <alignment horizontal="right" vertical="center" wrapText="1"/>
      <protection locked="0"/>
    </xf>
    <xf numFmtId="3" fontId="72" fillId="0" borderId="27" xfId="0" quotePrefix="1" applyNumberFormat="1" applyFont="1" applyBorder="1" applyAlignment="1">
      <alignment horizontal="left" vertical="center"/>
    </xf>
    <xf numFmtId="3" fontId="72" fillId="2" borderId="2" xfId="0" applyNumberFormat="1" applyFont="1" applyFill="1" applyBorder="1" applyAlignment="1">
      <alignment horizontal="left" vertical="center"/>
    </xf>
    <xf numFmtId="3" fontId="78" fillId="0" borderId="0" xfId="0" applyNumberFormat="1" applyFont="1" applyAlignment="1">
      <alignment horizontal="left" vertical="center"/>
    </xf>
    <xf numFmtId="3" fontId="72" fillId="0" borderId="0" xfId="0" applyNumberFormat="1" applyFont="1" applyFill="1" applyAlignment="1">
      <alignment vertical="center"/>
    </xf>
    <xf numFmtId="3" fontId="84" fillId="2" borderId="40" xfId="0" applyNumberFormat="1" applyFont="1" applyFill="1" applyBorder="1" applyAlignment="1">
      <alignment horizontal="left" vertical="center"/>
    </xf>
    <xf numFmtId="3" fontId="72" fillId="0" borderId="26" xfId="61" applyNumberFormat="1" applyFont="1" applyBorder="1" applyAlignment="1">
      <alignment horizontal="right" vertical="center"/>
    </xf>
    <xf numFmtId="3" fontId="77" fillId="7" borderId="11" xfId="0" applyNumberFormat="1" applyFont="1" applyFill="1" applyBorder="1" applyAlignment="1" applyProtection="1">
      <alignment horizontal="right" vertical="center" wrapText="1"/>
      <protection locked="0"/>
    </xf>
    <xf numFmtId="3" fontId="77" fillId="7" borderId="30" xfId="0" applyNumberFormat="1" applyFont="1" applyFill="1" applyBorder="1" applyAlignment="1" applyProtection="1">
      <alignment horizontal="right" vertical="center" wrapText="1"/>
      <protection locked="0"/>
    </xf>
    <xf numFmtId="3" fontId="77" fillId="7" borderId="5" xfId="0" applyNumberFormat="1" applyFont="1" applyFill="1" applyBorder="1" applyAlignment="1" applyProtection="1">
      <alignment horizontal="right" vertical="center" wrapText="1"/>
      <protection locked="0"/>
    </xf>
    <xf numFmtId="3" fontId="77" fillId="7" borderId="12" xfId="0" applyNumberFormat="1" applyFont="1" applyFill="1" applyBorder="1" applyAlignment="1" applyProtection="1">
      <alignment horizontal="right" vertical="center" wrapText="1"/>
      <protection locked="0"/>
    </xf>
    <xf numFmtId="3" fontId="77" fillId="7" borderId="8" xfId="0" applyNumberFormat="1" applyFont="1" applyFill="1" applyBorder="1" applyAlignment="1" applyProtection="1">
      <alignment horizontal="right" vertical="center" wrapText="1"/>
      <protection locked="0"/>
    </xf>
    <xf numFmtId="3" fontId="77" fillId="7" borderId="17" xfId="0" applyNumberFormat="1" applyFont="1" applyFill="1" applyBorder="1" applyAlignment="1" applyProtection="1">
      <alignment horizontal="right" vertical="center" wrapText="1"/>
      <protection locked="0"/>
    </xf>
    <xf numFmtId="3" fontId="77" fillId="7" borderId="16" xfId="0" applyNumberFormat="1" applyFont="1" applyFill="1" applyBorder="1" applyAlignment="1" applyProtection="1">
      <alignment horizontal="right" vertical="center" wrapText="1"/>
      <protection locked="0"/>
    </xf>
    <xf numFmtId="3" fontId="77" fillId="0" borderId="26" xfId="14" applyNumberFormat="1" applyFont="1" applyFill="1" applyBorder="1" applyAlignment="1">
      <alignment vertical="center"/>
    </xf>
    <xf numFmtId="3" fontId="77" fillId="7" borderId="33" xfId="0" applyNumberFormat="1" applyFont="1" applyFill="1" applyBorder="1" applyAlignment="1" applyProtection="1">
      <alignment horizontal="right" vertical="center" wrapText="1"/>
      <protection locked="0"/>
    </xf>
    <xf numFmtId="3" fontId="77" fillId="7" borderId="18" xfId="0" applyNumberFormat="1" applyFont="1" applyFill="1" applyBorder="1" applyAlignment="1" applyProtection="1">
      <alignment horizontal="right" vertical="center" wrapText="1"/>
      <protection locked="0"/>
    </xf>
    <xf numFmtId="3" fontId="77" fillId="7" borderId="19" xfId="0" applyNumberFormat="1" applyFont="1" applyFill="1" applyBorder="1" applyAlignment="1" applyProtection="1">
      <alignment horizontal="right" vertical="center" wrapText="1"/>
      <protection locked="0"/>
    </xf>
    <xf numFmtId="3" fontId="77" fillId="7" borderId="21" xfId="0" applyNumberFormat="1" applyFont="1" applyFill="1" applyBorder="1" applyAlignment="1" applyProtection="1">
      <alignment horizontal="right" vertical="center" wrapText="1"/>
      <protection locked="0"/>
    </xf>
    <xf numFmtId="3" fontId="77" fillId="7" borderId="4" xfId="0" applyNumberFormat="1" applyFont="1" applyFill="1" applyBorder="1" applyAlignment="1" applyProtection="1">
      <alignment horizontal="right" vertical="center" wrapText="1"/>
      <protection locked="0"/>
    </xf>
    <xf numFmtId="3" fontId="77" fillId="7" borderId="10" xfId="0" applyNumberFormat="1" applyFont="1" applyFill="1" applyBorder="1" applyAlignment="1" applyProtection="1">
      <alignment horizontal="right" vertical="center" wrapText="1"/>
      <protection locked="0"/>
    </xf>
    <xf numFmtId="0" fontId="8" fillId="0" borderId="26" xfId="0" applyFont="1" applyBorder="1" applyAlignment="1">
      <alignment vertical="top"/>
    </xf>
    <xf numFmtId="0" fontId="7" fillId="0" borderId="26" xfId="0" applyFont="1" applyBorder="1" applyAlignment="1">
      <alignment vertical="top"/>
    </xf>
    <xf numFmtId="0" fontId="7" fillId="0" borderId="26"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vertical="top"/>
    </xf>
    <xf numFmtId="0" fontId="5" fillId="0" borderId="26" xfId="0" applyFont="1" applyBorder="1" applyAlignment="1">
      <alignment vertical="top"/>
    </xf>
    <xf numFmtId="0" fontId="5" fillId="0" borderId="26" xfId="0" applyFont="1" applyBorder="1" applyAlignment="1">
      <alignment vertical="top" wrapText="1"/>
    </xf>
    <xf numFmtId="0" fontId="4" fillId="0" borderId="0" xfId="0" applyFont="1" applyAlignment="1">
      <alignment vertical="top"/>
    </xf>
    <xf numFmtId="0" fontId="4" fillId="0" borderId="26" xfId="0" applyFont="1" applyBorder="1" applyAlignment="1">
      <alignment vertical="top"/>
    </xf>
    <xf numFmtId="0" fontId="4" fillId="0" borderId="26" xfId="0" applyFont="1" applyBorder="1" applyAlignment="1">
      <alignment vertical="top" wrapText="1"/>
    </xf>
    <xf numFmtId="0" fontId="78" fillId="0" borderId="0" xfId="0" applyFont="1" applyAlignment="1">
      <alignment horizontal="left" vertical="center" wrapText="1"/>
    </xf>
    <xf numFmtId="0" fontId="105" fillId="0" borderId="0" xfId="0" applyFont="1" applyAlignment="1">
      <alignment horizontal="left" vertical="center"/>
    </xf>
    <xf numFmtId="0" fontId="106" fillId="0" borderId="0" xfId="0" applyFont="1" applyAlignment="1">
      <alignment horizontal="center" vertical="center"/>
    </xf>
    <xf numFmtId="0" fontId="106" fillId="0" borderId="0" xfId="0" applyFont="1" applyAlignment="1">
      <alignment horizontal="left" vertical="center" wrapText="1"/>
    </xf>
    <xf numFmtId="0" fontId="80" fillId="0" borderId="0" xfId="0" applyFont="1" applyAlignment="1">
      <alignment horizontal="left" vertical="center"/>
    </xf>
    <xf numFmtId="0" fontId="3" fillId="0" borderId="0" xfId="0" applyFont="1"/>
    <xf numFmtId="0" fontId="3" fillId="0" borderId="0" xfId="0" applyFont="1" applyAlignment="1">
      <alignment wrapText="1"/>
    </xf>
    <xf numFmtId="0" fontId="3" fillId="0" borderId="0" xfId="0" applyFont="1" applyAlignment="1">
      <alignment vertical="center"/>
    </xf>
    <xf numFmtId="0" fontId="3" fillId="2" borderId="46" xfId="0" applyFont="1" applyFill="1" applyBorder="1" applyAlignment="1">
      <alignment vertical="center" wrapText="1"/>
    </xf>
    <xf numFmtId="0" fontId="3" fillId="2" borderId="46" xfId="0" applyFont="1" applyFill="1" applyBorder="1" applyAlignment="1">
      <alignment vertical="center"/>
    </xf>
    <xf numFmtId="0" fontId="0" fillId="0" borderId="0" xfId="0" applyAlignment="1">
      <alignment vertical="center"/>
    </xf>
    <xf numFmtId="0" fontId="3" fillId="2" borderId="5" xfId="0" applyFont="1" applyFill="1" applyBorder="1" applyAlignment="1">
      <alignment vertical="center"/>
    </xf>
    <xf numFmtId="0" fontId="3" fillId="0" borderId="22" xfId="0" applyFont="1" applyBorder="1" applyAlignment="1">
      <alignment vertical="center" wrapText="1"/>
    </xf>
    <xf numFmtId="2" fontId="3" fillId="7" borderId="12" xfId="0" applyNumberFormat="1" applyFont="1" applyFill="1" applyBorder="1" applyAlignment="1">
      <alignment vertical="center"/>
    </xf>
    <xf numFmtId="0" fontId="3" fillId="2" borderId="4" xfId="0" applyFont="1" applyFill="1" applyBorder="1" applyAlignment="1">
      <alignment vertical="center"/>
    </xf>
    <xf numFmtId="0" fontId="3" fillId="0" borderId="36" xfId="0" applyFont="1" applyBorder="1" applyAlignment="1">
      <alignment vertical="center"/>
    </xf>
    <xf numFmtId="2" fontId="3" fillId="13" borderId="10" xfId="0" applyNumberFormat="1" applyFont="1" applyFill="1" applyBorder="1" applyAlignment="1">
      <alignment vertical="center"/>
    </xf>
    <xf numFmtId="0" fontId="3" fillId="2" borderId="44" xfId="0" applyFont="1" applyFill="1" applyBorder="1" applyAlignment="1">
      <alignment vertical="center"/>
    </xf>
    <xf numFmtId="0" fontId="3" fillId="0" borderId="35" xfId="0" applyFont="1" applyBorder="1" applyAlignment="1">
      <alignment vertical="center" wrapText="1"/>
    </xf>
    <xf numFmtId="2" fontId="3" fillId="7" borderId="47" xfId="0" applyNumberFormat="1" applyFont="1" applyFill="1" applyBorder="1" applyAlignment="1">
      <alignment vertical="center"/>
    </xf>
    <xf numFmtId="0" fontId="3" fillId="0" borderId="22" xfId="0" applyFont="1" applyBorder="1" applyAlignment="1">
      <alignment vertical="center"/>
    </xf>
    <xf numFmtId="2" fontId="3" fillId="13" borderId="12" xfId="0" applyNumberFormat="1" applyFont="1" applyFill="1" applyBorder="1" applyAlignment="1">
      <alignment vertical="center"/>
    </xf>
    <xf numFmtId="0" fontId="3" fillId="0" borderId="36" xfId="0" applyFont="1" applyBorder="1" applyAlignment="1">
      <alignment vertical="center" wrapText="1"/>
    </xf>
    <xf numFmtId="2" fontId="3" fillId="7" borderId="10" xfId="0" applyNumberFormat="1" applyFont="1" applyFill="1" applyBorder="1" applyAlignment="1">
      <alignment vertical="center"/>
    </xf>
    <xf numFmtId="0" fontId="3" fillId="0" borderId="34" xfId="0" applyFont="1" applyBorder="1" applyAlignment="1">
      <alignment vertical="center"/>
    </xf>
    <xf numFmtId="2" fontId="3" fillId="13" borderId="25" xfId="0" applyNumberFormat="1" applyFont="1" applyFill="1" applyBorder="1" applyAlignment="1">
      <alignment vertical="center"/>
    </xf>
    <xf numFmtId="2" fontId="3" fillId="0" borderId="36" xfId="0" applyNumberFormat="1" applyFont="1" applyBorder="1" applyAlignment="1">
      <alignment vertical="center" wrapText="1"/>
    </xf>
    <xf numFmtId="2" fontId="3" fillId="0" borderId="34" xfId="0" applyNumberFormat="1" applyFont="1" applyBorder="1" applyAlignment="1">
      <alignment vertical="center" wrapText="1"/>
    </xf>
    <xf numFmtId="2" fontId="3" fillId="0" borderId="36" xfId="0" applyNumberFormat="1" applyFont="1" applyBorder="1" applyAlignment="1">
      <alignment vertical="center"/>
    </xf>
    <xf numFmtId="0" fontId="72" fillId="2" borderId="5" xfId="0" applyFont="1" applyFill="1" applyBorder="1" applyAlignment="1">
      <alignment vertical="center"/>
    </xf>
    <xf numFmtId="0" fontId="72" fillId="0" borderId="22" xfId="0" applyFont="1" applyBorder="1" applyAlignment="1">
      <alignment vertical="center"/>
    </xf>
    <xf numFmtId="2" fontId="72" fillId="0" borderId="22" xfId="0" applyNumberFormat="1" applyFont="1" applyBorder="1" applyAlignment="1">
      <alignment vertical="center"/>
    </xf>
    <xf numFmtId="0" fontId="3" fillId="0" borderId="43" xfId="0" applyFont="1" applyBorder="1" applyAlignment="1">
      <alignment vertical="center"/>
    </xf>
    <xf numFmtId="0" fontId="3" fillId="0" borderId="35" xfId="0" applyFont="1" applyBorder="1" applyAlignment="1">
      <alignment vertical="center"/>
    </xf>
    <xf numFmtId="2" fontId="3" fillId="0" borderId="35" xfId="0" applyNumberFormat="1" applyFont="1" applyBorder="1" applyAlignment="1">
      <alignment vertical="center"/>
    </xf>
    <xf numFmtId="0" fontId="72" fillId="0" borderId="1" xfId="0" applyFont="1" applyBorder="1" applyAlignment="1">
      <alignment vertical="center"/>
    </xf>
    <xf numFmtId="2" fontId="3" fillId="13" borderId="47" xfId="0" applyNumberFormat="1" applyFont="1" applyFill="1" applyBorder="1" applyAlignment="1">
      <alignment vertical="center"/>
    </xf>
    <xf numFmtId="0" fontId="0" fillId="0" borderId="0" xfId="0" applyAlignment="1">
      <alignment wrapText="1"/>
    </xf>
    <xf numFmtId="3" fontId="72" fillId="14" borderId="26" xfId="0" applyNumberFormat="1" applyFont="1" applyFill="1" applyBorder="1" applyAlignment="1">
      <alignment horizontal="left" vertical="center"/>
    </xf>
    <xf numFmtId="3" fontId="72" fillId="14" borderId="26" xfId="0" applyNumberFormat="1" applyFont="1" applyFill="1" applyBorder="1" applyAlignment="1">
      <alignment horizontal="center" vertical="center"/>
    </xf>
    <xf numFmtId="3" fontId="72" fillId="14" borderId="26" xfId="0" applyNumberFormat="1" applyFont="1" applyFill="1" applyBorder="1" applyAlignment="1">
      <alignment horizontal="left" vertical="top"/>
    </xf>
    <xf numFmtId="0" fontId="82" fillId="14" borderId="26" xfId="0" applyFont="1" applyFill="1" applyBorder="1" applyAlignment="1">
      <alignment vertical="center"/>
    </xf>
    <xf numFmtId="3" fontId="72" fillId="14" borderId="28" xfId="0" applyNumberFormat="1" applyFont="1" applyFill="1" applyBorder="1" applyAlignment="1">
      <alignment horizontal="right" vertical="center"/>
    </xf>
    <xf numFmtId="3" fontId="72" fillId="14" borderId="26" xfId="0" applyNumberFormat="1" applyFont="1" applyFill="1" applyBorder="1" applyAlignment="1">
      <alignment vertical="center"/>
    </xf>
    <xf numFmtId="0" fontId="72" fillId="14" borderId="0" xfId="0" applyFont="1" applyFill="1" applyBorder="1" applyAlignment="1">
      <alignment vertical="center"/>
    </xf>
    <xf numFmtId="168" fontId="72" fillId="14" borderId="26" xfId="0" applyNumberFormat="1" applyFont="1" applyFill="1" applyBorder="1" applyAlignment="1">
      <alignment horizontal="center" vertical="center"/>
    </xf>
    <xf numFmtId="3" fontId="72" fillId="14" borderId="30" xfId="0" applyNumberFormat="1" applyFont="1" applyFill="1" applyBorder="1" applyAlignment="1" applyProtection="1">
      <alignment horizontal="right" vertical="center" wrapText="1"/>
      <protection locked="0"/>
    </xf>
    <xf numFmtId="3" fontId="72" fillId="14" borderId="18" xfId="0" applyNumberFormat="1" applyFont="1" applyFill="1" applyBorder="1" applyAlignment="1" applyProtection="1">
      <alignment horizontal="right" vertical="center" wrapText="1"/>
      <protection locked="0"/>
    </xf>
    <xf numFmtId="3" fontId="72" fillId="14" borderId="19" xfId="0" applyNumberFormat="1" applyFont="1" applyFill="1" applyBorder="1" applyAlignment="1" applyProtection="1">
      <alignment horizontal="right" vertical="center" wrapText="1"/>
      <protection locked="0"/>
    </xf>
    <xf numFmtId="3" fontId="72" fillId="14" borderId="33" xfId="0" applyNumberFormat="1" applyFont="1" applyFill="1" applyBorder="1" applyAlignment="1" applyProtection="1">
      <alignment horizontal="right" vertical="center" wrapText="1"/>
      <protection locked="0"/>
    </xf>
    <xf numFmtId="3" fontId="77" fillId="14" borderId="26" xfId="0" applyNumberFormat="1" applyFont="1" applyFill="1" applyBorder="1" applyAlignment="1">
      <alignment horizontal="left" vertical="center"/>
    </xf>
    <xf numFmtId="3" fontId="72" fillId="14" borderId="26" xfId="0" applyNumberFormat="1" applyFont="1" applyFill="1" applyBorder="1" applyAlignment="1">
      <alignment horizontal="right" vertical="center"/>
    </xf>
    <xf numFmtId="3" fontId="82" fillId="14" borderId="26" xfId="0" applyNumberFormat="1" applyFont="1" applyFill="1" applyBorder="1" applyAlignment="1">
      <alignment horizontal="left" vertical="center"/>
    </xf>
    <xf numFmtId="3" fontId="103" fillId="14" borderId="26" xfId="0" applyNumberFormat="1" applyFont="1" applyFill="1" applyBorder="1" applyAlignment="1">
      <alignment horizontal="left" vertical="top"/>
    </xf>
    <xf numFmtId="3" fontId="72" fillId="14" borderId="9" xfId="0" applyNumberFormat="1" applyFont="1" applyFill="1" applyBorder="1" applyAlignment="1" applyProtection="1">
      <alignment horizontal="right" vertical="center" wrapText="1"/>
      <protection locked="0"/>
    </xf>
    <xf numFmtId="3" fontId="72" fillId="14" borderId="3" xfId="0" applyNumberFormat="1" applyFont="1" applyFill="1" applyBorder="1" applyAlignment="1" applyProtection="1">
      <alignment horizontal="right" vertical="center" wrapText="1"/>
      <protection locked="0"/>
    </xf>
    <xf numFmtId="3" fontId="72" fillId="14" borderId="5" xfId="0" applyNumberFormat="1" applyFont="1" applyFill="1" applyBorder="1" applyAlignment="1" applyProtection="1">
      <alignment horizontal="right" vertical="center" wrapText="1"/>
      <protection locked="0"/>
    </xf>
    <xf numFmtId="3" fontId="72" fillId="14" borderId="12" xfId="0" applyNumberFormat="1" applyFont="1" applyFill="1" applyBorder="1" applyAlignment="1" applyProtection="1">
      <alignment horizontal="right" vertical="center" wrapText="1"/>
      <protection locked="0"/>
    </xf>
    <xf numFmtId="3" fontId="72" fillId="14" borderId="26" xfId="0" quotePrefix="1" applyNumberFormat="1" applyFont="1" applyFill="1" applyBorder="1" applyAlignment="1">
      <alignment horizontal="left" vertical="center"/>
    </xf>
    <xf numFmtId="3" fontId="103" fillId="14" borderId="26" xfId="0" applyNumberFormat="1" applyFont="1" applyFill="1" applyBorder="1" applyAlignment="1">
      <alignment horizontal="left" vertical="center"/>
    </xf>
    <xf numFmtId="3" fontId="72" fillId="14" borderId="16" xfId="0" applyNumberFormat="1" applyFont="1" applyFill="1" applyBorder="1" applyAlignment="1">
      <alignment vertical="center"/>
    </xf>
    <xf numFmtId="3" fontId="77" fillId="14" borderId="26" xfId="61" applyNumberFormat="1" applyFont="1" applyFill="1" applyBorder="1" applyAlignment="1">
      <alignment horizontal="left" vertical="center"/>
    </xf>
    <xf numFmtId="3" fontId="77" fillId="14" borderId="11" xfId="0" applyNumberFormat="1" applyFont="1" applyFill="1" applyBorder="1" applyAlignment="1" applyProtection="1">
      <alignment horizontal="right" vertical="center" wrapText="1"/>
      <protection locked="0"/>
    </xf>
    <xf numFmtId="3" fontId="77" fillId="14" borderId="26" xfId="0" applyNumberFormat="1" applyFont="1" applyFill="1" applyBorder="1" applyAlignment="1">
      <alignment vertical="center"/>
    </xf>
    <xf numFmtId="3" fontId="77" fillId="14" borderId="12" xfId="0" applyNumberFormat="1" applyFont="1" applyFill="1" applyBorder="1" applyAlignment="1" applyProtection="1">
      <alignment horizontal="right" vertical="center" wrapText="1"/>
      <protection locked="0"/>
    </xf>
    <xf numFmtId="3" fontId="77" fillId="14" borderId="9" xfId="0" applyNumberFormat="1" applyFont="1" applyFill="1" applyBorder="1" applyAlignment="1" applyProtection="1">
      <alignment horizontal="right" vertical="center" wrapText="1"/>
      <protection locked="0"/>
    </xf>
    <xf numFmtId="0" fontId="77" fillId="14" borderId="26" xfId="0" applyFont="1" applyFill="1" applyBorder="1" applyAlignment="1">
      <alignment vertical="center"/>
    </xf>
    <xf numFmtId="3" fontId="72" fillId="14" borderId="2" xfId="0" applyNumberFormat="1" applyFont="1" applyFill="1" applyBorder="1" applyAlignment="1" applyProtection="1">
      <alignment horizontal="right" vertical="center" wrapText="1"/>
      <protection locked="0"/>
    </xf>
    <xf numFmtId="3" fontId="72" fillId="14" borderId="4" xfId="0" applyNumberFormat="1" applyFont="1" applyFill="1" applyBorder="1" applyAlignment="1" applyProtection="1">
      <alignment horizontal="right" vertical="center" wrapText="1"/>
      <protection locked="0"/>
    </xf>
    <xf numFmtId="3" fontId="72" fillId="14" borderId="15" xfId="0" applyNumberFormat="1" applyFont="1" applyFill="1" applyBorder="1" applyAlignment="1" applyProtection="1">
      <alignment horizontal="right" vertical="center" wrapText="1"/>
      <protection locked="0"/>
    </xf>
    <xf numFmtId="3" fontId="72" fillId="14" borderId="0" xfId="0" applyNumberFormat="1" applyFont="1" applyFill="1" applyBorder="1" applyAlignment="1" applyProtection="1">
      <alignment horizontal="right" vertical="center" wrapText="1"/>
      <protection locked="0"/>
    </xf>
    <xf numFmtId="3" fontId="72" fillId="14" borderId="10" xfId="0" applyNumberFormat="1" applyFont="1" applyFill="1" applyBorder="1" applyAlignment="1">
      <alignment vertical="center"/>
    </xf>
    <xf numFmtId="3" fontId="72" fillId="14" borderId="39" xfId="0" applyNumberFormat="1" applyFont="1" applyFill="1" applyBorder="1" applyAlignment="1">
      <alignment vertical="center"/>
    </xf>
    <xf numFmtId="3" fontId="77" fillId="14" borderId="3" xfId="0" applyNumberFormat="1" applyFont="1" applyFill="1" applyBorder="1" applyAlignment="1" applyProtection="1">
      <alignment horizontal="right" vertical="center" wrapText="1"/>
      <protection locked="0"/>
    </xf>
    <xf numFmtId="3" fontId="77" fillId="14" borderId="5" xfId="0" applyNumberFormat="1" applyFont="1" applyFill="1" applyBorder="1" applyAlignment="1" applyProtection="1">
      <alignment horizontal="right" vertical="center" wrapText="1"/>
      <protection locked="0"/>
    </xf>
    <xf numFmtId="3" fontId="72" fillId="14" borderId="26" xfId="61" applyNumberFormat="1" applyFont="1" applyFill="1" applyBorder="1" applyAlignment="1">
      <alignment horizontal="left" vertical="top" wrapText="1"/>
    </xf>
    <xf numFmtId="0" fontId="72" fillId="14" borderId="0" xfId="0" applyFont="1" applyFill="1" applyAlignment="1">
      <alignment horizontal="center" vertical="center"/>
    </xf>
    <xf numFmtId="3" fontId="72" fillId="14" borderId="26" xfId="61" applyNumberFormat="1" applyFont="1" applyFill="1" applyBorder="1" applyAlignment="1">
      <alignment horizontal="left" vertical="center"/>
    </xf>
    <xf numFmtId="3" fontId="72" fillId="15" borderId="26" xfId="0" applyNumberFormat="1" applyFont="1" applyFill="1" applyBorder="1" applyAlignment="1">
      <alignment vertical="center"/>
    </xf>
    <xf numFmtId="0" fontId="72" fillId="14" borderId="26" xfId="0" applyFont="1" applyFill="1" applyBorder="1" applyAlignment="1">
      <alignment horizontal="left" vertical="center"/>
    </xf>
    <xf numFmtId="3" fontId="72" fillId="14" borderId="17" xfId="0" applyNumberFormat="1" applyFont="1" applyFill="1" applyBorder="1" applyAlignment="1" applyProtection="1">
      <alignment horizontal="right" vertical="center" wrapText="1"/>
      <protection locked="0"/>
    </xf>
    <xf numFmtId="3" fontId="72" fillId="14" borderId="16" xfId="0" applyNumberFormat="1" applyFont="1" applyFill="1" applyBorder="1" applyAlignment="1" applyProtection="1">
      <alignment horizontal="right" vertical="center" wrapText="1"/>
      <protection locked="0"/>
    </xf>
    <xf numFmtId="3" fontId="72" fillId="14" borderId="8" xfId="0" applyNumberFormat="1" applyFont="1" applyFill="1" applyBorder="1" applyAlignment="1" applyProtection="1">
      <alignment horizontal="right" vertical="center" wrapText="1"/>
      <protection locked="0"/>
    </xf>
    <xf numFmtId="3" fontId="72" fillId="14" borderId="6" xfId="0" applyNumberFormat="1" applyFont="1" applyFill="1" applyBorder="1" applyAlignment="1" applyProtection="1">
      <alignment horizontal="right" vertical="center" wrapText="1"/>
      <protection locked="0"/>
    </xf>
    <xf numFmtId="3" fontId="72" fillId="14" borderId="38" xfId="0" applyNumberFormat="1" applyFont="1" applyFill="1" applyBorder="1" applyAlignment="1" applyProtection="1">
      <alignment horizontal="right" vertical="center" wrapText="1"/>
      <protection locked="0"/>
    </xf>
    <xf numFmtId="3" fontId="72" fillId="14" borderId="7" xfId="0" applyNumberFormat="1" applyFont="1" applyFill="1" applyBorder="1" applyAlignment="1" applyProtection="1">
      <alignment horizontal="right" vertical="center" wrapText="1"/>
      <protection locked="0"/>
    </xf>
    <xf numFmtId="3" fontId="82" fillId="14" borderId="26" xfId="0" applyNumberFormat="1" applyFont="1" applyFill="1" applyBorder="1" applyAlignment="1">
      <alignment vertical="center"/>
    </xf>
    <xf numFmtId="3" fontId="72" fillId="14" borderId="38" xfId="0" applyNumberFormat="1" applyFont="1" applyFill="1" applyBorder="1" applyAlignment="1">
      <alignment vertical="center"/>
    </xf>
    <xf numFmtId="0" fontId="72" fillId="14" borderId="26" xfId="0" applyFont="1" applyFill="1" applyBorder="1" applyAlignment="1">
      <alignment vertical="center"/>
    </xf>
    <xf numFmtId="0" fontId="77" fillId="14" borderId="26" xfId="61" applyFont="1" applyFill="1" applyBorder="1" applyAlignment="1">
      <alignment vertical="center"/>
    </xf>
    <xf numFmtId="3" fontId="82" fillId="14" borderId="26" xfId="0" quotePrefix="1" applyNumberFormat="1" applyFont="1" applyFill="1" applyBorder="1" applyAlignment="1">
      <alignment vertical="center"/>
    </xf>
    <xf numFmtId="3" fontId="72" fillId="14" borderId="11" xfId="0" applyNumberFormat="1" applyFont="1" applyFill="1" applyBorder="1" applyAlignment="1" applyProtection="1">
      <alignment horizontal="right" vertical="center" wrapText="1"/>
      <protection locked="0"/>
    </xf>
    <xf numFmtId="3" fontId="72" fillId="14" borderId="20" xfId="0" applyNumberFormat="1" applyFont="1" applyFill="1" applyBorder="1" applyAlignment="1" applyProtection="1">
      <alignment horizontal="right" vertical="center" wrapText="1"/>
      <protection locked="0"/>
    </xf>
    <xf numFmtId="3" fontId="104" fillId="0" borderId="26" xfId="0" applyNumberFormat="1" applyFont="1" applyFill="1" applyBorder="1" applyAlignment="1">
      <alignment horizontal="left" vertical="center"/>
    </xf>
    <xf numFmtId="168" fontId="104" fillId="0" borderId="26" xfId="0" applyNumberFormat="1" applyFont="1" applyFill="1" applyBorder="1" applyAlignment="1">
      <alignment horizontal="center" vertical="center"/>
    </xf>
    <xf numFmtId="3" fontId="104" fillId="0" borderId="26" xfId="0" applyNumberFormat="1" applyFont="1" applyBorder="1" applyAlignment="1">
      <alignment horizontal="left" vertical="center"/>
    </xf>
    <xf numFmtId="3" fontId="104" fillId="0" borderId="26" xfId="0" applyNumberFormat="1" applyFont="1" applyBorder="1" applyAlignment="1">
      <alignment horizontal="left" vertical="top"/>
    </xf>
    <xf numFmtId="3" fontId="104" fillId="7" borderId="9" xfId="0" applyNumberFormat="1" applyFont="1" applyFill="1" applyBorder="1" applyAlignment="1" applyProtection="1">
      <alignment horizontal="right" vertical="center" wrapText="1"/>
      <protection locked="0"/>
    </xf>
    <xf numFmtId="3" fontId="104" fillId="7" borderId="3" xfId="0" applyNumberFormat="1" applyFont="1" applyFill="1" applyBorder="1" applyAlignment="1" applyProtection="1">
      <alignment horizontal="right" vertical="center" wrapText="1"/>
      <protection locked="0"/>
    </xf>
    <xf numFmtId="3" fontId="104" fillId="7" borderId="5" xfId="0" applyNumberFormat="1" applyFont="1" applyFill="1" applyBorder="1" applyAlignment="1" applyProtection="1">
      <alignment horizontal="right" vertical="center" wrapText="1"/>
      <protection locked="0"/>
    </xf>
    <xf numFmtId="3" fontId="104" fillId="0" borderId="26" xfId="0" applyNumberFormat="1" applyFont="1" applyFill="1" applyBorder="1" applyAlignment="1">
      <alignment vertical="center"/>
    </xf>
    <xf numFmtId="3" fontId="104" fillId="7" borderId="12" xfId="0" applyNumberFormat="1" applyFont="1" applyFill="1" applyBorder="1" applyAlignment="1" applyProtection="1">
      <alignment horizontal="right" vertical="center" wrapText="1"/>
      <protection locked="0"/>
    </xf>
    <xf numFmtId="0" fontId="104" fillId="0" borderId="0" xfId="0" applyFont="1" applyFill="1" applyBorder="1" applyAlignment="1">
      <alignment vertical="center"/>
    </xf>
    <xf numFmtId="3" fontId="104" fillId="7" borderId="15" xfId="0" applyNumberFormat="1" applyFont="1" applyFill="1" applyBorder="1" applyAlignment="1" applyProtection="1">
      <alignment horizontal="right" vertical="center" wrapText="1"/>
      <protection locked="0"/>
    </xf>
    <xf numFmtId="3" fontId="104" fillId="7" borderId="8" xfId="0" applyNumberFormat="1" applyFont="1" applyFill="1" applyBorder="1" applyAlignment="1" applyProtection="1">
      <alignment horizontal="right" vertical="center" wrapText="1"/>
      <protection locked="0"/>
    </xf>
    <xf numFmtId="3" fontId="104" fillId="7" borderId="17" xfId="0" applyNumberFormat="1" applyFont="1" applyFill="1" applyBorder="1" applyAlignment="1" applyProtection="1">
      <alignment horizontal="right" vertical="center" wrapText="1"/>
      <protection locked="0"/>
    </xf>
    <xf numFmtId="3" fontId="107" fillId="0" borderId="26" xfId="0" applyNumberFormat="1" applyFont="1" applyBorder="1" applyAlignment="1">
      <alignment horizontal="left" vertical="center"/>
    </xf>
    <xf numFmtId="3" fontId="104" fillId="7" borderId="30" xfId="0" applyNumberFormat="1" applyFont="1" applyFill="1" applyBorder="1" applyAlignment="1" applyProtection="1">
      <alignment horizontal="right" vertical="center" wrapText="1"/>
      <protection locked="0"/>
    </xf>
    <xf numFmtId="3" fontId="104" fillId="7" borderId="19" xfId="0" applyNumberFormat="1" applyFont="1" applyFill="1" applyBorder="1" applyAlignment="1" applyProtection="1">
      <alignment horizontal="right" vertical="center" wrapText="1"/>
      <protection locked="0"/>
    </xf>
    <xf numFmtId="3" fontId="104" fillId="7" borderId="33" xfId="0" applyNumberFormat="1" applyFont="1" applyFill="1" applyBorder="1" applyAlignment="1" applyProtection="1">
      <alignment horizontal="right" vertical="center" wrapText="1"/>
      <protection locked="0"/>
    </xf>
    <xf numFmtId="3" fontId="104" fillId="0" borderId="26" xfId="0" applyNumberFormat="1" applyFont="1" applyFill="1" applyBorder="1" applyAlignment="1">
      <alignment horizontal="center" vertical="center"/>
    </xf>
    <xf numFmtId="3" fontId="108" fillId="0" borderId="26" xfId="0" applyNumberFormat="1" applyFont="1" applyBorder="1" applyAlignment="1">
      <alignment horizontal="left" vertical="top"/>
    </xf>
    <xf numFmtId="3" fontId="107" fillId="0" borderId="26" xfId="0" applyNumberFormat="1" applyFont="1" applyBorder="1" applyAlignment="1">
      <alignment vertical="center"/>
    </xf>
    <xf numFmtId="3" fontId="104" fillId="0" borderId="26" xfId="0" applyNumberFormat="1" applyFont="1" applyFill="1" applyBorder="1" applyAlignment="1">
      <alignment horizontal="right" vertical="center"/>
    </xf>
    <xf numFmtId="3" fontId="104" fillId="0" borderId="28" xfId="0" applyNumberFormat="1" applyFont="1" applyFill="1" applyBorder="1" applyAlignment="1">
      <alignment horizontal="right" vertical="center"/>
    </xf>
    <xf numFmtId="3" fontId="109" fillId="0" borderId="26" xfId="0" applyNumberFormat="1" applyFont="1" applyBorder="1" applyAlignment="1">
      <alignment horizontal="left" vertical="center"/>
    </xf>
    <xf numFmtId="3" fontId="109" fillId="7" borderId="12" xfId="0" applyNumberFormat="1" applyFont="1" applyFill="1" applyBorder="1" applyAlignment="1" applyProtection="1">
      <alignment horizontal="right" vertical="center" wrapText="1"/>
      <protection locked="0"/>
    </xf>
    <xf numFmtId="3" fontId="109" fillId="7" borderId="3" xfId="0" applyNumberFormat="1" applyFont="1" applyFill="1" applyBorder="1" applyAlignment="1" applyProtection="1">
      <alignment horizontal="right" vertical="center" wrapText="1"/>
      <protection locked="0"/>
    </xf>
    <xf numFmtId="3" fontId="109" fillId="7" borderId="5" xfId="0" applyNumberFormat="1" applyFont="1" applyFill="1" applyBorder="1" applyAlignment="1" applyProtection="1">
      <alignment horizontal="right" vertical="center" wrapText="1"/>
      <protection locked="0"/>
    </xf>
    <xf numFmtId="3" fontId="109" fillId="0" borderId="26" xfId="0" applyNumberFormat="1" applyFont="1" applyFill="1" applyBorder="1" applyAlignment="1">
      <alignment vertical="center"/>
    </xf>
    <xf numFmtId="3" fontId="104" fillId="12" borderId="26" xfId="0" applyNumberFormat="1" applyFont="1" applyFill="1" applyBorder="1" applyAlignment="1">
      <alignment vertical="center"/>
    </xf>
    <xf numFmtId="3" fontId="104" fillId="0" borderId="0" xfId="0" applyNumberFormat="1" applyFont="1" applyFill="1" applyBorder="1" applyAlignment="1" applyProtection="1">
      <alignment horizontal="right" vertical="center" wrapText="1"/>
      <protection locked="0"/>
    </xf>
    <xf numFmtId="3" fontId="109" fillId="12" borderId="26" xfId="0" applyNumberFormat="1" applyFont="1" applyFill="1" applyBorder="1" applyAlignment="1">
      <alignment vertical="center"/>
    </xf>
    <xf numFmtId="3" fontId="110" fillId="0" borderId="26" xfId="0" applyNumberFormat="1" applyFont="1" applyFill="1" applyBorder="1" applyAlignment="1">
      <alignment horizontal="left" vertical="center"/>
    </xf>
    <xf numFmtId="168" fontId="110" fillId="0" borderId="26" xfId="0" applyNumberFormat="1" applyFont="1" applyFill="1" applyBorder="1" applyAlignment="1">
      <alignment horizontal="center" vertical="center"/>
    </xf>
    <xf numFmtId="3" fontId="110" fillId="0" borderId="26" xfId="0" applyNumberFormat="1" applyFont="1" applyBorder="1" applyAlignment="1">
      <alignment horizontal="left" vertical="center"/>
    </xf>
    <xf numFmtId="3" fontId="111" fillId="0" borderId="26" xfId="0" applyNumberFormat="1" applyFont="1" applyBorder="1" applyAlignment="1">
      <alignment horizontal="left" vertical="top"/>
    </xf>
    <xf numFmtId="0" fontId="110" fillId="0" borderId="26" xfId="0" applyFont="1" applyBorder="1" applyAlignment="1">
      <alignment horizontal="left" vertical="top" wrapText="1"/>
    </xf>
    <xf numFmtId="3" fontId="110" fillId="7" borderId="15" xfId="0" applyNumberFormat="1" applyFont="1" applyFill="1" applyBorder="1" applyAlignment="1" applyProtection="1">
      <alignment horizontal="right" vertical="center" wrapText="1"/>
      <protection locked="0"/>
    </xf>
    <xf numFmtId="3" fontId="110" fillId="7" borderId="17" xfId="0" applyNumberFormat="1" applyFont="1" applyFill="1" applyBorder="1" applyAlignment="1" applyProtection="1">
      <alignment horizontal="right" vertical="center" wrapText="1"/>
      <protection locked="0"/>
    </xf>
    <xf numFmtId="3" fontId="110" fillId="0" borderId="26" xfId="0" applyNumberFormat="1" applyFont="1" applyFill="1" applyBorder="1" applyAlignment="1">
      <alignment vertical="center"/>
    </xf>
    <xf numFmtId="3" fontId="110" fillId="7" borderId="16" xfId="0" applyNumberFormat="1" applyFont="1" applyFill="1" applyBorder="1" applyAlignment="1" applyProtection="1">
      <alignment horizontal="right" vertical="center" wrapText="1"/>
      <protection locked="0"/>
    </xf>
    <xf numFmtId="3" fontId="110" fillId="0" borderId="28" xfId="0" applyNumberFormat="1" applyFont="1" applyFill="1" applyBorder="1" applyAlignment="1">
      <alignment vertical="center"/>
    </xf>
    <xf numFmtId="0" fontId="110" fillId="0" borderId="0" xfId="0" applyFont="1" applyFill="1" applyBorder="1" applyAlignment="1">
      <alignment vertical="center"/>
    </xf>
    <xf numFmtId="3" fontId="110" fillId="0" borderId="26" xfId="0" applyNumberFormat="1" applyFont="1" applyFill="1" applyBorder="1" applyAlignment="1">
      <alignment horizontal="center" vertical="center"/>
    </xf>
    <xf numFmtId="0" fontId="112" fillId="0" borderId="26" xfId="0" applyFont="1" applyBorder="1" applyAlignment="1">
      <alignment vertical="center"/>
    </xf>
    <xf numFmtId="3" fontId="110" fillId="0" borderId="0" xfId="0" applyNumberFormat="1" applyFont="1" applyAlignment="1">
      <alignment horizontal="left" vertical="top" wrapText="1"/>
    </xf>
    <xf numFmtId="43" fontId="110" fillId="0" borderId="0" xfId="75" applyFont="1" applyFill="1" applyBorder="1" applyAlignment="1">
      <alignment horizontal="left" vertical="top" wrapText="1"/>
    </xf>
    <xf numFmtId="3" fontId="72" fillId="0" borderId="0" xfId="0" applyNumberFormat="1" applyFont="1" applyAlignment="1">
      <alignment horizontal="left" vertical="top" wrapText="1"/>
    </xf>
    <xf numFmtId="43" fontId="72" fillId="0" borderId="0" xfId="75" applyFont="1" applyFill="1" applyBorder="1" applyAlignment="1">
      <alignment horizontal="left" vertical="top" wrapText="1"/>
    </xf>
    <xf numFmtId="0" fontId="104" fillId="0" borderId="0" xfId="0" applyFont="1" applyAlignment="1">
      <alignment vertical="center"/>
    </xf>
    <xf numFmtId="43" fontId="104" fillId="0" borderId="0" xfId="75" applyFont="1" applyFill="1" applyBorder="1" applyAlignment="1">
      <alignment vertical="center"/>
    </xf>
    <xf numFmtId="3" fontId="110" fillId="7" borderId="9" xfId="0" applyNumberFormat="1" applyFont="1" applyFill="1" applyBorder="1" applyAlignment="1" applyProtection="1">
      <alignment horizontal="right" vertical="center" wrapText="1"/>
      <protection locked="0"/>
    </xf>
    <xf numFmtId="3" fontId="110" fillId="7" borderId="3" xfId="0" applyNumberFormat="1" applyFont="1" applyFill="1" applyBorder="1" applyAlignment="1" applyProtection="1">
      <alignment horizontal="right" vertical="center" wrapText="1"/>
      <protection locked="0"/>
    </xf>
    <xf numFmtId="3" fontId="110" fillId="7" borderId="5" xfId="0" applyNumberFormat="1" applyFont="1" applyFill="1" applyBorder="1" applyAlignment="1" applyProtection="1">
      <alignment horizontal="right" vertical="center" wrapText="1"/>
      <protection locked="0"/>
    </xf>
    <xf numFmtId="3" fontId="110" fillId="7" borderId="12" xfId="0" applyNumberFormat="1" applyFont="1" applyFill="1" applyBorder="1" applyAlignment="1" applyProtection="1">
      <alignment horizontal="right" vertical="center" wrapText="1"/>
      <protection locked="0"/>
    </xf>
    <xf numFmtId="3" fontId="112" fillId="7" borderId="3" xfId="0" applyNumberFormat="1" applyFont="1" applyFill="1" applyBorder="1" applyAlignment="1" applyProtection="1">
      <alignment horizontal="right" vertical="center" wrapText="1"/>
      <protection locked="0"/>
    </xf>
    <xf numFmtId="9" fontId="110" fillId="0" borderId="26" xfId="1" applyFont="1" applyFill="1" applyBorder="1" applyAlignment="1">
      <alignment vertical="center"/>
    </xf>
    <xf numFmtId="9" fontId="104" fillId="0" borderId="26" xfId="1" applyFont="1" applyFill="1" applyBorder="1" applyAlignment="1">
      <alignment vertical="center"/>
    </xf>
    <xf numFmtId="3" fontId="72" fillId="14" borderId="3" xfId="61" applyNumberFormat="1" applyFont="1" applyFill="1" applyBorder="1" applyAlignment="1" applyProtection="1">
      <alignment horizontal="right" vertical="center" wrapText="1"/>
      <protection locked="0"/>
    </xf>
    <xf numFmtId="9" fontId="72" fillId="14" borderId="26" xfId="1" applyFont="1" applyFill="1" applyBorder="1" applyAlignment="1">
      <alignment vertical="center"/>
    </xf>
    <xf numFmtId="0" fontId="110" fillId="0" borderId="26" xfId="0" applyFont="1" applyFill="1" applyBorder="1" applyAlignment="1">
      <alignment vertical="center"/>
    </xf>
    <xf numFmtId="0" fontId="110" fillId="0" borderId="26" xfId="0" applyFont="1" applyBorder="1" applyAlignment="1">
      <alignment horizontal="left" vertical="center" wrapText="1"/>
    </xf>
    <xf numFmtId="3" fontId="110" fillId="7" borderId="6" xfId="0" applyNumberFormat="1" applyFont="1" applyFill="1" applyBorder="1" applyAlignment="1" applyProtection="1">
      <alignment horizontal="right" vertical="center" wrapText="1"/>
      <protection locked="0"/>
    </xf>
    <xf numFmtId="3" fontId="107" fillId="0" borderId="21" xfId="61" applyNumberFormat="1" applyFont="1" applyBorder="1" applyAlignment="1">
      <alignment horizontal="right" vertical="center"/>
    </xf>
    <xf numFmtId="9" fontId="107" fillId="0" borderId="26" xfId="63" applyFont="1" applyFill="1" applyBorder="1" applyAlignment="1">
      <alignment vertical="center"/>
    </xf>
    <xf numFmtId="3" fontId="104" fillId="0" borderId="28" xfId="61" applyNumberFormat="1" applyFont="1" applyBorder="1" applyAlignment="1">
      <alignment horizontal="right" vertical="center"/>
    </xf>
    <xf numFmtId="3" fontId="109" fillId="7" borderId="9" xfId="0" applyNumberFormat="1" applyFont="1" applyFill="1" applyBorder="1" applyAlignment="1" applyProtection="1">
      <alignment horizontal="right" vertical="center" wrapText="1"/>
      <protection locked="0"/>
    </xf>
    <xf numFmtId="3" fontId="104" fillId="11" borderId="9" xfId="0" applyNumberFormat="1" applyFont="1" applyFill="1" applyBorder="1" applyAlignment="1" applyProtection="1">
      <alignment horizontal="right" vertical="center" wrapText="1"/>
      <protection locked="0"/>
    </xf>
    <xf numFmtId="3" fontId="109" fillId="11" borderId="9" xfId="0" applyNumberFormat="1" applyFont="1" applyFill="1" applyBorder="1" applyAlignment="1" applyProtection="1">
      <alignment horizontal="right" vertical="center" wrapText="1"/>
      <protection locked="0"/>
    </xf>
    <xf numFmtId="0" fontId="113" fillId="0" borderId="0" xfId="0" applyFont="1" applyBorder="1" applyAlignment="1">
      <alignment horizontal="left" vertical="top" wrapText="1"/>
    </xf>
    <xf numFmtId="0" fontId="104" fillId="0" borderId="0" xfId="0" applyFont="1" applyFill="1" applyBorder="1" applyAlignment="1">
      <alignment horizontal="left" vertical="top" wrapText="1"/>
    </xf>
    <xf numFmtId="0" fontId="104" fillId="0" borderId="26" xfId="0" applyFont="1" applyFill="1" applyBorder="1" applyAlignment="1">
      <alignment vertical="center"/>
    </xf>
    <xf numFmtId="3" fontId="82" fillId="14" borderId="0" xfId="61" applyNumberFormat="1" applyFont="1" applyFill="1" applyAlignment="1">
      <alignment horizontal="right" vertical="center"/>
    </xf>
    <xf numFmtId="3" fontId="72" fillId="14" borderId="26" xfId="61" applyNumberFormat="1" applyFont="1" applyFill="1" applyBorder="1" applyAlignment="1">
      <alignment horizontal="left" vertical="center" wrapText="1"/>
    </xf>
    <xf numFmtId="3" fontId="72" fillId="15" borderId="9" xfId="0" applyNumberFormat="1" applyFont="1" applyFill="1" applyBorder="1" applyAlignment="1" applyProtection="1">
      <alignment horizontal="right" vertical="center" wrapText="1"/>
      <protection locked="0"/>
    </xf>
    <xf numFmtId="3" fontId="72" fillId="14" borderId="26" xfId="1" applyNumberFormat="1" applyFont="1" applyFill="1" applyBorder="1" applyAlignment="1">
      <alignment vertical="center"/>
    </xf>
    <xf numFmtId="9" fontId="82" fillId="14" borderId="26" xfId="63" applyFont="1" applyFill="1" applyBorder="1" applyAlignment="1">
      <alignment vertical="center"/>
    </xf>
    <xf numFmtId="3" fontId="72" fillId="15" borderId="15" xfId="0" applyNumberFormat="1" applyFont="1" applyFill="1" applyBorder="1" applyAlignment="1" applyProtection="1">
      <alignment horizontal="right" vertical="center" wrapText="1"/>
      <protection locked="0"/>
    </xf>
    <xf numFmtId="0" fontId="2" fillId="0" borderId="37" xfId="0" applyFont="1" applyBorder="1"/>
    <xf numFmtId="0" fontId="2" fillId="0" borderId="26" xfId="0" applyFont="1" applyBorder="1" applyAlignment="1">
      <alignment vertical="top"/>
    </xf>
    <xf numFmtId="0" fontId="2" fillId="0" borderId="26" xfId="0" applyFont="1" applyBorder="1" applyAlignment="1">
      <alignment vertical="top" wrapText="1"/>
    </xf>
    <xf numFmtId="3" fontId="72" fillId="14" borderId="0" xfId="61" applyNumberFormat="1" applyFont="1" applyFill="1" applyAlignment="1">
      <alignment horizontal="right" vertical="center"/>
    </xf>
    <xf numFmtId="0" fontId="64" fillId="2" borderId="0" xfId="0" applyFont="1" applyFill="1" applyAlignment="1">
      <alignment horizontal="left"/>
    </xf>
    <xf numFmtId="0" fontId="64" fillId="2" borderId="6" xfId="0" applyFont="1" applyFill="1" applyBorder="1" applyAlignment="1">
      <alignment horizontal="left"/>
    </xf>
    <xf numFmtId="0" fontId="64" fillId="2" borderId="0" xfId="0" applyFont="1" applyFill="1" applyAlignment="1">
      <alignment horizontal="left" vertical="center"/>
    </xf>
    <xf numFmtId="0" fontId="64" fillId="2" borderId="6" xfId="0" applyFont="1" applyFill="1" applyBorder="1" applyAlignment="1">
      <alignment horizontal="left" vertical="center"/>
    </xf>
    <xf numFmtId="3" fontId="72" fillId="2" borderId="0" xfId="0" applyNumberFormat="1" applyFont="1" applyFill="1" applyBorder="1" applyAlignment="1">
      <alignment horizontal="center" wrapText="1"/>
    </xf>
    <xf numFmtId="0" fontId="72" fillId="2" borderId="26" xfId="0" applyFont="1" applyFill="1" applyBorder="1" applyAlignment="1">
      <alignment horizontal="left" vertical="center" wrapText="1"/>
    </xf>
    <xf numFmtId="0" fontId="72" fillId="2" borderId="27" xfId="0" applyFont="1" applyFill="1" applyBorder="1" applyAlignment="1">
      <alignment horizontal="left" vertical="center" wrapText="1"/>
    </xf>
    <xf numFmtId="3" fontId="72" fillId="2" borderId="0" xfId="0" applyNumberFormat="1" applyFont="1" applyFill="1" applyBorder="1" applyAlignment="1">
      <alignment horizontal="left" wrapText="1"/>
    </xf>
    <xf numFmtId="3" fontId="72" fillId="2" borderId="0" xfId="0" applyNumberFormat="1" applyFont="1" applyFill="1" applyBorder="1" applyAlignment="1">
      <alignment horizontal="center" vertical="center" wrapText="1"/>
    </xf>
    <xf numFmtId="0" fontId="86" fillId="0" borderId="0" xfId="0" applyFont="1" applyAlignment="1">
      <alignment vertical="top" wrapText="1"/>
    </xf>
    <xf numFmtId="0" fontId="86" fillId="0" borderId="0" xfId="0" applyFont="1" applyAlignment="1">
      <alignment horizontal="left" vertical="top" wrapText="1"/>
    </xf>
    <xf numFmtId="0" fontId="86" fillId="0" borderId="0" xfId="0" applyFont="1" applyAlignment="1">
      <alignment horizontal="left"/>
    </xf>
    <xf numFmtId="0" fontId="86" fillId="0" borderId="0" xfId="0" applyFont="1" applyBorder="1" applyAlignment="1">
      <alignment horizontal="left"/>
    </xf>
    <xf numFmtId="3" fontId="87" fillId="0" borderId="26" xfId="0" applyNumberFormat="1" applyFont="1" applyFill="1" applyBorder="1" applyAlignment="1">
      <alignment vertical="center" wrapText="1"/>
    </xf>
    <xf numFmtId="0" fontId="86" fillId="0" borderId="26" xfId="0" applyFont="1" applyBorder="1" applyAlignment="1">
      <alignment vertical="center" wrapText="1"/>
    </xf>
    <xf numFmtId="3" fontId="87" fillId="0" borderId="26" xfId="0" quotePrefix="1" applyNumberFormat="1" applyFont="1" applyFill="1" applyBorder="1" applyAlignment="1">
      <alignment vertical="center" wrapText="1"/>
    </xf>
    <xf numFmtId="0" fontId="86" fillId="0" borderId="0" xfId="0" applyFont="1" applyAlignment="1">
      <alignment wrapText="1"/>
    </xf>
  </cellXfs>
  <cellStyles count="76">
    <cellStyle name="Ausgabe" xfId="3" hidden="1" xr:uid="{00000000-0005-0000-0000-000000000000}"/>
    <cellStyle name="Ausgabe" xfId="6" hidden="1" xr:uid="{00000000-0005-0000-0000-000001000000}"/>
    <cellStyle name="Ausgabe" xfId="7" hidden="1" xr:uid="{00000000-0005-0000-0000-000002000000}"/>
    <cellStyle name="Ausgabe" xfId="9" hidden="1" xr:uid="{00000000-0005-0000-0000-000003000000}"/>
    <cellStyle name="Ausgabe" xfId="16" hidden="1" xr:uid="{00000000-0005-0000-0000-000004000000}"/>
    <cellStyle name="Ausgabe" xfId="19" hidden="1" xr:uid="{00000000-0005-0000-0000-000005000000}"/>
    <cellStyle name="Ausgabe" xfId="20" hidden="1" xr:uid="{00000000-0005-0000-0000-000006000000}"/>
    <cellStyle name="Ausgabe" xfId="22" hidden="1" xr:uid="{00000000-0005-0000-0000-000007000000}"/>
    <cellStyle name="Ausgabe" xfId="33" hidden="1" xr:uid="{00000000-0005-0000-0000-000008000000}"/>
    <cellStyle name="Ausgabe" xfId="36" hidden="1" xr:uid="{00000000-0005-0000-0000-000009000000}"/>
    <cellStyle name="Ausgabe" xfId="37" hidden="1" xr:uid="{00000000-0005-0000-0000-00000A000000}"/>
    <cellStyle name="Ausgabe" xfId="39" hidden="1" xr:uid="{00000000-0005-0000-0000-00000B000000}"/>
    <cellStyle name="Ausgabe" xfId="46" hidden="1" xr:uid="{00000000-0005-0000-0000-00000C000000}"/>
    <cellStyle name="Ausgabe" xfId="49" hidden="1" xr:uid="{00000000-0005-0000-0000-00000D000000}"/>
    <cellStyle name="Ausgabe" xfId="50" hidden="1" xr:uid="{00000000-0005-0000-0000-00000E000000}"/>
    <cellStyle name="Ausgabe" xfId="52" hidden="1" xr:uid="{00000000-0005-0000-0000-00000F000000}"/>
    <cellStyle name="Comma 2" xfId="17" xr:uid="{00000000-0005-0000-0000-000011000000}"/>
    <cellStyle name="Comma 2 2" xfId="47" xr:uid="{00000000-0005-0000-0000-000012000000}"/>
    <cellStyle name="Comma 3" xfId="34" xr:uid="{00000000-0005-0000-0000-000013000000}"/>
    <cellStyle name="Comma 4" xfId="72" xr:uid="{4A5C805E-EE03-4E2D-A93B-C1877BB03D3D}"/>
    <cellStyle name="Eingabe" xfId="2" hidden="1" xr:uid="{00000000-0005-0000-0000-000014000000}"/>
    <cellStyle name="Eingabe" xfId="5" hidden="1" xr:uid="{00000000-0005-0000-0000-000015000000}"/>
    <cellStyle name="Eingabe" xfId="8" hidden="1" xr:uid="{00000000-0005-0000-0000-000016000000}"/>
    <cellStyle name="Eingabe" xfId="10" hidden="1" xr:uid="{00000000-0005-0000-0000-000017000000}"/>
    <cellStyle name="Eingabe" xfId="15" hidden="1" xr:uid="{00000000-0005-0000-0000-000018000000}"/>
    <cellStyle name="Eingabe" xfId="18" hidden="1" xr:uid="{00000000-0005-0000-0000-000019000000}"/>
    <cellStyle name="Eingabe" xfId="21" hidden="1" xr:uid="{00000000-0005-0000-0000-00001A000000}"/>
    <cellStyle name="Eingabe" xfId="23" hidden="1" xr:uid="{00000000-0005-0000-0000-00001B000000}"/>
    <cellStyle name="Eingabe" xfId="32" hidden="1" xr:uid="{00000000-0005-0000-0000-00001C000000}"/>
    <cellStyle name="Eingabe" xfId="35" hidden="1" xr:uid="{00000000-0005-0000-0000-00001D000000}"/>
    <cellStyle name="Eingabe" xfId="38" hidden="1" xr:uid="{00000000-0005-0000-0000-00001E000000}"/>
    <cellStyle name="Eingabe" xfId="40" hidden="1" xr:uid="{00000000-0005-0000-0000-00001F000000}"/>
    <cellStyle name="Eingabe" xfId="45" hidden="1" xr:uid="{00000000-0005-0000-0000-000020000000}"/>
    <cellStyle name="Eingabe" xfId="48" hidden="1" xr:uid="{00000000-0005-0000-0000-000021000000}"/>
    <cellStyle name="Eingabe" xfId="51" hidden="1" xr:uid="{00000000-0005-0000-0000-000022000000}"/>
    <cellStyle name="Eingabe" xfId="53" hidden="1" xr:uid="{00000000-0005-0000-0000-000023000000}"/>
    <cellStyle name="Komma" xfId="75" builtinId="3"/>
    <cellStyle name="Komma 2" xfId="29" xr:uid="{00000000-0005-0000-0000-000025000000}"/>
    <cellStyle name="Komma 2 2" xfId="59" xr:uid="{00000000-0005-0000-0000-000026000000}"/>
    <cellStyle name="Komma 3" xfId="30" xr:uid="{00000000-0005-0000-0000-000027000000}"/>
    <cellStyle name="Komma 3 2" xfId="60" xr:uid="{00000000-0005-0000-0000-000028000000}"/>
    <cellStyle name="Link" xfId="4" builtinId="8"/>
    <cellStyle name="Milliers 2" xfId="13" xr:uid="{00000000-0005-0000-0000-000029000000}"/>
    <cellStyle name="Milliers 2 2" xfId="26" xr:uid="{00000000-0005-0000-0000-00002A000000}"/>
    <cellStyle name="Milliers 2 2 2" xfId="56" xr:uid="{00000000-0005-0000-0000-00002B000000}"/>
    <cellStyle name="Milliers 2 3" xfId="43" xr:uid="{00000000-0005-0000-0000-00002C000000}"/>
    <cellStyle name="Normal 2" xfId="31" xr:uid="{00000000-0005-0000-0000-00002E000000}"/>
    <cellStyle name="Normal 2 2" xfId="61" xr:uid="{00000000-0005-0000-0000-00002F000000}"/>
    <cellStyle name="Normal 2 2 2" xfId="71" xr:uid="{160E94DA-4178-4EE5-B64E-733905378C50}"/>
    <cellStyle name="Normal 2 3" xfId="74" xr:uid="{236D1ACE-8ED3-4BA9-A6A8-A958D5847782}"/>
    <cellStyle name="Normal 3" xfId="65" xr:uid="{00000000-0005-0000-0000-000030000000}"/>
    <cellStyle name="Normal 4" xfId="70" xr:uid="{2F632AB2-9FF9-4C03-B97B-394AE9FA8EF9}"/>
    <cellStyle name="Normal 45" xfId="11" xr:uid="{00000000-0005-0000-0000-000031000000}"/>
    <cellStyle name="Normal 45 2" xfId="24" xr:uid="{00000000-0005-0000-0000-000032000000}"/>
    <cellStyle name="Normal 45 2 2" xfId="54" xr:uid="{00000000-0005-0000-0000-000033000000}"/>
    <cellStyle name="Normal 45 3" xfId="41" xr:uid="{00000000-0005-0000-0000-000034000000}"/>
    <cellStyle name="Percent 2" xfId="63" xr:uid="{00000000-0005-0000-0000-000036000000}"/>
    <cellStyle name="Pourcentage 2" xfId="12" xr:uid="{00000000-0005-0000-0000-000037000000}"/>
    <cellStyle name="Pourcentage 2 2" xfId="25" xr:uid="{00000000-0005-0000-0000-000038000000}"/>
    <cellStyle name="Pourcentage 2 2 2" xfId="55" xr:uid="{00000000-0005-0000-0000-000039000000}"/>
    <cellStyle name="Pourcentage 2 3" xfId="42" xr:uid="{00000000-0005-0000-0000-00003A000000}"/>
    <cellStyle name="Prozent" xfId="1" builtinId="5"/>
    <cellStyle name="Prozent 2" xfId="28" xr:uid="{00000000-0005-0000-0000-00003B000000}"/>
    <cellStyle name="Prozent 2 2" xfId="58" xr:uid="{00000000-0005-0000-0000-00003C000000}"/>
    <cellStyle name="Prozent 2 3" xfId="66" xr:uid="{61946949-B426-4CDF-BC04-A4603F236A0E}"/>
    <cellStyle name="Prozent 2 4" xfId="69" xr:uid="{52698DA9-803E-4490-B763-0C93428B94B1}"/>
    <cellStyle name="Standard" xfId="0" builtinId="0"/>
    <cellStyle name="Standard 12" xfId="14" xr:uid="{00000000-0005-0000-0000-00003D000000}"/>
    <cellStyle name="Standard 12 2" xfId="44" xr:uid="{00000000-0005-0000-0000-00003E000000}"/>
    <cellStyle name="Standard 2" xfId="27" xr:uid="{00000000-0005-0000-0000-00003F000000}"/>
    <cellStyle name="Standard 2 2" xfId="62" xr:uid="{00000000-0005-0000-0000-000040000000}"/>
    <cellStyle name="Standard 2 2 2" xfId="68" xr:uid="{6254F745-7351-49D5-A58C-FB7050EAE9D9}"/>
    <cellStyle name="Standard 2 2 3" xfId="73" xr:uid="{712D6E49-9B75-4D76-AC60-40728DF8F880}"/>
    <cellStyle name="Standard 2 3" xfId="64" xr:uid="{00000000-0005-0000-0000-000041000000}"/>
    <cellStyle name="Standard 2 4" xfId="57" xr:uid="{00000000-0005-0000-0000-000042000000}"/>
    <cellStyle name="Standard 3" xfId="67" xr:uid="{C46FED78-ADDB-4CA3-B778-2054797088EB}"/>
  </cellStyles>
  <dxfs count="9">
    <dxf>
      <font>
        <color auto="1"/>
      </font>
      <fill>
        <patternFill>
          <bgColor theme="3" tint="0.79998168889431442"/>
        </patternFill>
      </fill>
    </dxf>
    <dxf>
      <font>
        <color auto="1"/>
      </font>
      <fill>
        <patternFill>
          <bgColor theme="3" tint="0.79998168889431442"/>
        </patternFill>
      </fill>
    </dxf>
    <dxf>
      <font>
        <color auto="1"/>
      </font>
      <fill>
        <patternFill>
          <bgColor rgb="FFFFFFCC"/>
        </patternFill>
      </fill>
    </dxf>
    <dxf>
      <font>
        <color auto="1"/>
      </font>
      <fill>
        <patternFill>
          <bgColor theme="6" tint="0.59996337778862885"/>
        </patternFill>
      </fill>
    </dxf>
    <dxf>
      <font>
        <color auto="1"/>
      </font>
      <fill>
        <patternFill>
          <bgColor theme="5" tint="0.59996337778862885"/>
        </patternFill>
      </fill>
    </dxf>
    <dxf>
      <font>
        <color auto="1"/>
      </font>
      <fill>
        <patternFill>
          <bgColor theme="3" tint="0.79998168889431442"/>
        </patternFill>
      </fill>
    </dxf>
    <dxf>
      <fill>
        <patternFill>
          <bgColor theme="4" tint="0.59996337778862885"/>
        </patternFill>
      </fill>
    </dxf>
    <dxf>
      <fill>
        <patternFill>
          <bgColor rgb="FFD8E4BC"/>
        </patternFill>
      </fill>
    </dxf>
    <dxf>
      <fill>
        <patternFill>
          <bgColor rgb="FFFFFFCC"/>
        </patternFill>
      </fill>
    </dxf>
  </dxfs>
  <tableStyles count="0" defaultTableStyle="TableStyleMedium2" defaultPivotStyle="PivotStyleLight16"/>
  <colors>
    <mruColors>
      <color rgb="FF002D64"/>
      <color rgb="FFD4ECF7"/>
      <color rgb="FF00539E"/>
      <color rgb="FFFDE2CE"/>
      <color rgb="FFD4ECF9"/>
      <color rgb="FFD8E4BC"/>
      <color rgb="FFEBF6FC"/>
      <color rgb="FFA2D3EE"/>
      <color rgb="FFBDE4F7"/>
      <color rgb="FF86C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4ECF9"/>
  </sheetPr>
  <dimension ref="A1:K32"/>
  <sheetViews>
    <sheetView showGridLines="0" zoomScale="90" zoomScaleNormal="90" workbookViewId="0"/>
  </sheetViews>
  <sheetFormatPr baseColWidth="10" defaultColWidth="8.5703125" defaultRowHeight="12.75" customHeight="1" x14ac:dyDescent="0.2"/>
  <cols>
    <col min="1" max="1" width="5.5703125" style="2" customWidth="1"/>
    <col min="2" max="2" width="43.42578125" style="2" customWidth="1"/>
    <col min="3" max="3" width="13.42578125" style="2" customWidth="1"/>
    <col min="4" max="4" width="15.7109375" style="2" customWidth="1"/>
    <col min="5" max="5" width="54.42578125" style="2" customWidth="1"/>
    <col min="6" max="16384" width="8.5703125" style="2"/>
  </cols>
  <sheetData>
    <row r="1" spans="1:11" ht="20.100000000000001" customHeight="1" x14ac:dyDescent="0.2">
      <c r="A1" s="3">
        <v>1</v>
      </c>
      <c r="B1" s="259" t="str">
        <f>VLOOKUP("T.01.01",Translation,LanguageNo+1,FALSE)</f>
        <v>SST-Participation-Template</v>
      </c>
      <c r="C1" s="4">
        <v>2025</v>
      </c>
    </row>
    <row r="2" spans="1:11" ht="14.25" customHeight="1" x14ac:dyDescent="0.2">
      <c r="A2" s="18"/>
      <c r="B2" s="18"/>
      <c r="C2" s="18"/>
      <c r="D2" s="18"/>
      <c r="E2" s="18"/>
      <c r="F2" s="18"/>
      <c r="G2" s="18"/>
      <c r="H2" s="18"/>
      <c r="I2" s="18"/>
      <c r="J2" s="18"/>
    </row>
    <row r="3" spans="1:11" s="8" customFormat="1" ht="14.25" customHeight="1" x14ac:dyDescent="0.2">
      <c r="A3" s="7"/>
      <c r="B3" s="17" t="s">
        <v>119</v>
      </c>
      <c r="C3" s="276" t="s">
        <v>1351</v>
      </c>
      <c r="D3" s="18"/>
      <c r="E3" s="18"/>
      <c r="F3" s="18"/>
      <c r="G3" s="18"/>
      <c r="H3" s="18"/>
      <c r="I3" s="18"/>
      <c r="J3" s="18"/>
    </row>
    <row r="4" spans="1:11" s="8" customFormat="1" ht="14.25" customHeight="1" x14ac:dyDescent="0.2">
      <c r="A4" s="7"/>
      <c r="B4" s="17"/>
      <c r="C4" s="26"/>
      <c r="D4" s="18"/>
      <c r="E4" s="18"/>
      <c r="F4" s="18"/>
      <c r="G4" s="18"/>
      <c r="H4" s="18"/>
      <c r="I4" s="18"/>
      <c r="J4" s="18"/>
    </row>
    <row r="5" spans="1:11" s="8" customFormat="1" ht="14.25" customHeight="1" x14ac:dyDescent="0.2">
      <c r="A5" s="18"/>
      <c r="B5" s="27"/>
      <c r="C5" s="18"/>
      <c r="D5" s="18"/>
      <c r="E5" s="18"/>
      <c r="F5" s="18"/>
      <c r="G5" s="18"/>
      <c r="H5" s="18"/>
      <c r="I5" s="18"/>
      <c r="J5" s="18"/>
    </row>
    <row r="6" spans="1:11" s="8" customFormat="1" ht="14.25" customHeight="1" x14ac:dyDescent="0.2">
      <c r="A6" s="18"/>
      <c r="B6" s="18"/>
      <c r="C6" s="18"/>
      <c r="D6" s="18"/>
      <c r="E6" s="18"/>
      <c r="F6" s="18"/>
      <c r="G6" s="18"/>
      <c r="H6" s="18"/>
      <c r="I6" s="18"/>
      <c r="J6" s="18"/>
    </row>
    <row r="7" spans="1:11" s="8" customFormat="1" ht="14.25" customHeight="1" x14ac:dyDescent="0.2">
      <c r="A7" s="18"/>
      <c r="B7" s="624" t="s">
        <v>31</v>
      </c>
      <c r="C7" s="624"/>
      <c r="D7" s="625"/>
      <c r="E7" s="25" t="s">
        <v>1562</v>
      </c>
      <c r="F7" s="9">
        <f>IF(Language="DE",1,IF(Language="FR",2,3))</f>
        <v>1</v>
      </c>
      <c r="G7" s="315" t="str">
        <f>IF(LanguageNo=1,"in Mio.",IF(LanguageNo=2,"en milion","in Mio."))&amp;" "</f>
        <v xml:space="preserve">in Mio. </v>
      </c>
      <c r="H7" s="18"/>
      <c r="I7" s="18"/>
      <c r="J7" s="18"/>
    </row>
    <row r="8" spans="1:11" s="8" customFormat="1" ht="14.25" customHeight="1" x14ac:dyDescent="0.2">
      <c r="A8" s="20"/>
      <c r="B8" s="19"/>
      <c r="C8" s="18"/>
      <c r="D8" s="18"/>
      <c r="E8" s="28"/>
      <c r="F8" s="20"/>
      <c r="G8" s="20"/>
      <c r="H8" s="20"/>
      <c r="I8" s="20"/>
      <c r="J8" s="20"/>
      <c r="K8" s="10"/>
    </row>
    <row r="9" spans="1:11" s="8" customFormat="1" ht="14.25" customHeight="1" x14ac:dyDescent="0.2">
      <c r="A9" s="20"/>
      <c r="B9" s="626" t="str">
        <f>VLOOKUP("T.01.02",Translation,LanguageNo+1,FALSE)</f>
        <v>Name der Versicherungsgesellschaft</v>
      </c>
      <c r="C9" s="626"/>
      <c r="D9" s="627"/>
      <c r="E9" s="25" t="s">
        <v>33</v>
      </c>
      <c r="F9" s="18"/>
      <c r="G9" s="20"/>
      <c r="H9" s="20"/>
      <c r="I9" s="20"/>
      <c r="J9" s="20"/>
      <c r="K9" s="10"/>
    </row>
    <row r="10" spans="1:11" s="8" customFormat="1" ht="14.25" customHeight="1" x14ac:dyDescent="0.2">
      <c r="A10" s="20"/>
      <c r="B10" s="20"/>
      <c r="C10" s="18"/>
      <c r="D10" s="18"/>
      <c r="E10" s="29"/>
      <c r="F10" s="20"/>
      <c r="G10" s="20"/>
      <c r="H10" s="20"/>
      <c r="I10" s="20"/>
      <c r="J10" s="20"/>
      <c r="K10" s="10"/>
    </row>
    <row r="11" spans="1:11" s="8" customFormat="1" ht="14.25" customHeight="1" x14ac:dyDescent="0.2">
      <c r="A11" s="20"/>
      <c r="B11" s="626" t="str">
        <f>VLOOKUP("T.01.03",Translation,LanguageNo+1,FALSE)</f>
        <v>Sparte</v>
      </c>
      <c r="C11" s="626"/>
      <c r="D11" s="627"/>
      <c r="E11" s="25" t="s">
        <v>28</v>
      </c>
      <c r="F11" s="35"/>
      <c r="G11" s="20"/>
      <c r="H11" s="20"/>
      <c r="I11" s="20"/>
      <c r="J11" s="20"/>
      <c r="K11" s="10"/>
    </row>
    <row r="12" spans="1:11" s="8" customFormat="1" ht="14.25" customHeight="1" x14ac:dyDescent="0.2">
      <c r="A12" s="20"/>
      <c r="B12" s="20"/>
      <c r="C12" s="18"/>
      <c r="D12" s="18"/>
      <c r="E12" s="29"/>
      <c r="F12" s="20"/>
      <c r="G12" s="20"/>
      <c r="H12" s="20"/>
      <c r="I12" s="20"/>
      <c r="J12" s="20"/>
      <c r="K12" s="10"/>
    </row>
    <row r="13" spans="1:11" s="8" customFormat="1" ht="14.25" customHeight="1" x14ac:dyDescent="0.2">
      <c r="A13" s="18"/>
      <c r="B13" s="18"/>
      <c r="C13" s="19"/>
      <c r="D13" s="21"/>
      <c r="E13" s="21"/>
      <c r="F13" s="21"/>
      <c r="G13" s="21"/>
      <c r="H13" s="21"/>
      <c r="I13" s="21"/>
      <c r="J13" s="21"/>
      <c r="K13" s="11"/>
    </row>
    <row r="14" spans="1:11" s="8" customFormat="1" ht="14.25" customHeight="1" x14ac:dyDescent="0.2">
      <c r="A14" s="18"/>
      <c r="B14" s="1" t="str">
        <f>VLOOKUP("T.02.03",Translation,LanguageNo+1,FALSE)</f>
        <v>Bemerkungen</v>
      </c>
      <c r="C14" s="22"/>
      <c r="D14" s="21"/>
      <c r="E14" s="21"/>
      <c r="F14" s="21"/>
      <c r="G14" s="21"/>
      <c r="H14" s="21"/>
      <c r="I14" s="21"/>
      <c r="J14" s="21"/>
      <c r="K14" s="11"/>
    </row>
    <row r="15" spans="1:11" s="8" customFormat="1" ht="14.25" customHeight="1" x14ac:dyDescent="0.2">
      <c r="A15" s="24"/>
      <c r="B15" s="30" t="str">
        <f>VLOOKUP("T.01.17",Translation,LanguageNo+1,FALSE)</f>
        <v>Dieses SST-Template enthält Tabellenblätter mit verschiedenen Registerfarben. Es wird die folgende Farbenkonvention verwendet:</v>
      </c>
      <c r="C15" s="23"/>
      <c r="D15" s="23"/>
      <c r="E15" s="22"/>
      <c r="F15" s="23"/>
      <c r="G15" s="23"/>
      <c r="H15" s="23"/>
      <c r="I15" s="23"/>
      <c r="J15" s="23"/>
      <c r="K15" s="15"/>
    </row>
    <row r="16" spans="1:11" s="8" customFormat="1" ht="14.25" customHeight="1" x14ac:dyDescent="0.2">
      <c r="A16" s="24"/>
      <c r="B16" s="30"/>
      <c r="C16" s="18"/>
      <c r="D16" s="22"/>
      <c r="E16" s="22"/>
      <c r="F16" s="22"/>
      <c r="G16" s="22"/>
      <c r="H16" s="22"/>
      <c r="I16" s="22"/>
      <c r="J16" s="22"/>
      <c r="K16" s="12"/>
    </row>
    <row r="17" spans="1:11" s="8" customFormat="1" ht="14.25" customHeight="1" x14ac:dyDescent="0.2">
      <c r="A17" s="18"/>
      <c r="B17" s="206" t="str">
        <f>VLOOKUP("T.01.13",Translation,LanguageNo+1,FALSE)</f>
        <v>Angaben</v>
      </c>
      <c r="C17" s="31" t="str">
        <f>VLOOKUP("T.01.18",Translation,LanguageNo+1,FALSE)</f>
        <v>Tabellenblätter, die vom Versicherungsunternehmen auszufüllen sind.</v>
      </c>
      <c r="D17" s="21"/>
      <c r="E17" s="21"/>
      <c r="F17" s="21"/>
      <c r="G17" s="21"/>
      <c r="H17" s="21"/>
      <c r="I17" s="21"/>
      <c r="J17" s="21"/>
      <c r="K17" s="11"/>
    </row>
    <row r="18" spans="1:11" s="8" customFormat="1" ht="14.25" customHeight="1" x14ac:dyDescent="0.2">
      <c r="A18" s="18"/>
      <c r="B18" s="16" t="str">
        <f>VLOOKUP("T.01.14",Translation,LanguageNo+1,FALSE)</f>
        <v>Parameter</v>
      </c>
      <c r="C18" s="32" t="str">
        <f>VLOOKUP("T.01.19",Translation,LanguageNo+1,FALSE)</f>
        <v>Tabellenblätter mit Informationen und Parametern. Diese Tabellenblätter sind in der Regel nicht zu ändern.</v>
      </c>
      <c r="D18" s="21"/>
      <c r="E18" s="21"/>
      <c r="F18" s="21"/>
      <c r="G18" s="21"/>
      <c r="H18" s="21"/>
      <c r="I18" s="21"/>
      <c r="J18" s="21"/>
      <c r="K18" s="11"/>
    </row>
    <row r="19" spans="1:11" s="8" customFormat="1" ht="14.25" customHeight="1" x14ac:dyDescent="0.2">
      <c r="A19" s="18"/>
      <c r="B19" s="265" t="str">
        <f>VLOOKUP("T.01.15",Translation,LanguageNo+1,FALSE)</f>
        <v>Configuration</v>
      </c>
      <c r="C19" s="32" t="str">
        <f>VLOOKUP("T.01.20",Translation,LanguageNo+1,FALSE)</f>
        <v>Tabellenblätter, die für die Steuerung des Tools notwendig sind. Diese Tabellenblätter sind in der Regel nicht zu ändern.</v>
      </c>
      <c r="D19" s="21"/>
      <c r="E19" s="21"/>
      <c r="F19" s="21"/>
      <c r="G19" s="21"/>
      <c r="H19" s="21"/>
      <c r="I19" s="21"/>
      <c r="J19" s="21"/>
      <c r="K19" s="11"/>
    </row>
    <row r="20" spans="1:11" s="8" customFormat="1" ht="14.25" customHeight="1" x14ac:dyDescent="0.2">
      <c r="A20" s="18"/>
      <c r="B20" s="21"/>
      <c r="C20" s="32"/>
      <c r="D20" s="21"/>
      <c r="E20" s="21"/>
      <c r="F20" s="21"/>
      <c r="G20" s="21"/>
      <c r="H20" s="21"/>
      <c r="I20" s="21"/>
      <c r="J20" s="21"/>
      <c r="K20" s="11"/>
    </row>
    <row r="21" spans="1:11" s="13" customFormat="1" ht="14.25" customHeight="1" x14ac:dyDescent="0.25">
      <c r="A21" s="24"/>
      <c r="B21" s="33" t="str">
        <f>VLOOKUP("T.01.16",Translation,LanguageNo+1,FALSE)</f>
        <v>Eingabe</v>
      </c>
      <c r="C21" s="34" t="str">
        <f>VLOOKUP("T.01.21",Translation,LanguageNo+1,FALSE)</f>
        <v>Eingabefelder: In diesen Feldern werden versicherungsspezifische Angaben erwartet.</v>
      </c>
      <c r="D21" s="30"/>
      <c r="E21" s="30"/>
      <c r="F21" s="30"/>
      <c r="G21" s="30"/>
      <c r="H21" s="30"/>
      <c r="I21" s="30"/>
      <c r="J21" s="30"/>
      <c r="K21" s="14"/>
    </row>
    <row r="22" spans="1:11" ht="12.75" customHeight="1" x14ac:dyDescent="0.2">
      <c r="A22" s="18"/>
      <c r="B22" s="18"/>
      <c r="C22" s="18"/>
      <c r="D22" s="18"/>
      <c r="E22" s="18"/>
      <c r="F22" s="18"/>
      <c r="G22" s="18"/>
      <c r="H22" s="18"/>
      <c r="I22" s="18"/>
      <c r="J22" s="18"/>
    </row>
    <row r="23" spans="1:11" ht="12.75" customHeight="1" x14ac:dyDescent="0.2">
      <c r="A23" s="18"/>
      <c r="B23" s="18"/>
      <c r="C23" s="32"/>
      <c r="D23" s="18"/>
      <c r="E23" s="18"/>
      <c r="F23" s="18"/>
      <c r="G23" s="18"/>
      <c r="H23" s="18"/>
      <c r="I23" s="18"/>
      <c r="J23" s="18"/>
    </row>
    <row r="24" spans="1:11" ht="12.75" customHeight="1" x14ac:dyDescent="0.2">
      <c r="A24" s="18"/>
      <c r="B24" s="18"/>
      <c r="C24" s="18"/>
      <c r="D24" s="18"/>
      <c r="E24" s="18"/>
      <c r="F24" s="18"/>
      <c r="G24" s="18"/>
      <c r="H24" s="18"/>
      <c r="I24" s="18"/>
      <c r="J24" s="18"/>
    </row>
    <row r="25" spans="1:11" ht="12.75" customHeight="1" x14ac:dyDescent="0.2">
      <c r="A25" s="18"/>
      <c r="B25" s="18"/>
      <c r="C25" s="18"/>
      <c r="D25" s="18"/>
      <c r="E25" s="18"/>
      <c r="F25" s="18"/>
      <c r="G25" s="18"/>
      <c r="H25" s="18"/>
      <c r="I25" s="18"/>
      <c r="J25" s="18"/>
    </row>
    <row r="26" spans="1:11" ht="12.75" customHeight="1" x14ac:dyDescent="0.2">
      <c r="A26" s="18"/>
      <c r="B26" s="18"/>
      <c r="C26" s="18"/>
      <c r="D26" s="18"/>
      <c r="E26" s="18"/>
      <c r="F26" s="18"/>
      <c r="G26" s="18"/>
      <c r="H26" s="18"/>
      <c r="I26" s="18"/>
      <c r="J26" s="18"/>
    </row>
    <row r="27" spans="1:11" ht="12.75" customHeight="1" x14ac:dyDescent="0.2">
      <c r="A27" s="18"/>
      <c r="B27" s="18"/>
      <c r="C27" s="18"/>
      <c r="D27" s="18"/>
      <c r="E27" s="18"/>
      <c r="F27" s="18"/>
      <c r="G27" s="18"/>
      <c r="H27" s="18"/>
      <c r="I27" s="18"/>
      <c r="J27" s="18"/>
    </row>
    <row r="28" spans="1:11" ht="12.75" customHeight="1" x14ac:dyDescent="0.2">
      <c r="A28" s="18"/>
      <c r="B28" s="18"/>
      <c r="C28" s="18"/>
      <c r="D28" s="18"/>
      <c r="E28" s="18"/>
      <c r="F28" s="18"/>
      <c r="G28" s="18"/>
      <c r="H28" s="18"/>
      <c r="I28" s="18"/>
      <c r="J28" s="18"/>
    </row>
    <row r="29" spans="1:11" ht="12.75" customHeight="1" x14ac:dyDescent="0.2">
      <c r="A29" s="18"/>
      <c r="B29" s="18"/>
      <c r="C29" s="18"/>
      <c r="D29" s="18"/>
      <c r="E29" s="18"/>
      <c r="F29" s="18"/>
      <c r="G29" s="18"/>
      <c r="H29" s="18"/>
      <c r="I29" s="18"/>
      <c r="J29" s="18"/>
    </row>
    <row r="30" spans="1:11" ht="12.75" customHeight="1" x14ac:dyDescent="0.2">
      <c r="A30" s="18"/>
      <c r="B30" s="18"/>
      <c r="C30" s="18"/>
      <c r="D30" s="18"/>
      <c r="E30" s="18"/>
      <c r="F30" s="18"/>
      <c r="G30" s="18"/>
      <c r="H30" s="18"/>
      <c r="I30" s="18"/>
      <c r="J30" s="18"/>
    </row>
    <row r="31" spans="1:11" ht="12.75" customHeight="1" x14ac:dyDescent="0.2">
      <c r="A31" s="18"/>
      <c r="B31" s="18"/>
      <c r="C31" s="18"/>
      <c r="D31" s="18"/>
      <c r="E31" s="18"/>
      <c r="F31" s="18"/>
      <c r="G31" s="18"/>
      <c r="H31" s="18"/>
      <c r="I31" s="18"/>
      <c r="J31" s="18"/>
    </row>
    <row r="32" spans="1:11" ht="12.75" customHeight="1" x14ac:dyDescent="0.2">
      <c r="A32" s="18"/>
      <c r="B32" s="18"/>
      <c r="C32" s="18"/>
      <c r="D32" s="18"/>
      <c r="E32" s="18"/>
      <c r="F32" s="18"/>
      <c r="G32" s="18"/>
      <c r="H32" s="18"/>
      <c r="I32" s="18"/>
      <c r="J32" s="18"/>
    </row>
  </sheetData>
  <mergeCells count="3">
    <mergeCell ref="B7:D7"/>
    <mergeCell ref="B9:D9"/>
    <mergeCell ref="B11:D11"/>
  </mergeCells>
  <dataValidations count="2">
    <dataValidation type="list" allowBlank="1" showInputMessage="1" showErrorMessage="1" sqref="C13" xr:uid="{00000000-0002-0000-0000-000000000000}">
      <formula1>"DE, FR, EN"</formula1>
    </dataValidation>
    <dataValidation type="list" allowBlank="1" showInputMessage="1" showErrorMessage="1" sqref="E7" xr:uid="{031B5971-2687-4EA3-B8D7-ACAB24239A36}">
      <formula1>"DE, EN"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IF(Language="DE",Glossary!$C$11:$C$16,IF(Language="FR",Glossary!$D$11:$D$16,Glossary!$E$11:$E$16))</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39E"/>
  </sheetPr>
  <dimension ref="A1:I20"/>
  <sheetViews>
    <sheetView showGridLines="0" zoomScale="90" zoomScaleNormal="90" workbookViewId="0"/>
  </sheetViews>
  <sheetFormatPr baseColWidth="10" defaultColWidth="8.5703125" defaultRowHeight="12.75" customHeight="1" x14ac:dyDescent="0.2"/>
  <cols>
    <col min="1" max="1" width="5.5703125" style="257" customWidth="1"/>
    <col min="2" max="2" width="8.5703125" style="257"/>
    <col min="3" max="3" width="12.42578125" style="257" customWidth="1"/>
    <col min="4" max="4" width="27.5703125" style="257" bestFit="1" customWidth="1"/>
    <col min="5" max="5" width="152.140625" style="257" customWidth="1"/>
    <col min="6" max="16384" width="8.5703125" style="257"/>
  </cols>
  <sheetData>
    <row r="1" spans="1:9" ht="20.100000000000001" customHeight="1" x14ac:dyDescent="0.2">
      <c r="A1" s="5">
        <v>2</v>
      </c>
      <c r="B1" s="259" t="str">
        <f>VLOOKUP("T.02.10",Translation,LanguageNo+1,FALSE)</f>
        <v>Aktualisierungsliste</v>
      </c>
    </row>
    <row r="2" spans="1:9" ht="14.25" customHeight="1" x14ac:dyDescent="0.2">
      <c r="A2" s="5"/>
      <c r="B2" s="259"/>
    </row>
    <row r="3" spans="1:9" ht="14.25" customHeight="1" x14ac:dyDescent="0.2">
      <c r="A3" s="5"/>
      <c r="B3" s="259"/>
    </row>
    <row r="4" spans="1:9" ht="14.25" customHeight="1" x14ac:dyDescent="0.2">
      <c r="A4" s="5"/>
      <c r="B4" s="259"/>
    </row>
    <row r="5" spans="1:9" ht="14.25" customHeight="1" x14ac:dyDescent="0.2">
      <c r="A5" s="306"/>
      <c r="B5" s="306"/>
      <c r="C5" s="306"/>
      <c r="D5" s="306"/>
      <c r="E5" s="306"/>
      <c r="F5" s="306"/>
      <c r="G5" s="306"/>
      <c r="H5" s="306"/>
      <c r="I5" s="306"/>
    </row>
    <row r="6" spans="1:9" ht="14.25" customHeight="1" x14ac:dyDescent="0.2">
      <c r="A6" s="306"/>
      <c r="B6" s="331" t="s">
        <v>26</v>
      </c>
      <c r="C6" s="331" t="s">
        <v>27</v>
      </c>
      <c r="D6" s="331" t="s">
        <v>117</v>
      </c>
      <c r="E6" s="331" t="s">
        <v>888</v>
      </c>
      <c r="F6" s="306"/>
      <c r="G6" s="306"/>
      <c r="H6" s="306"/>
      <c r="I6" s="306"/>
    </row>
    <row r="7" spans="1:9" s="345" customFormat="1" ht="12.75" customHeight="1" x14ac:dyDescent="0.25">
      <c r="A7" s="342"/>
      <c r="B7" s="343">
        <v>1</v>
      </c>
      <c r="C7" s="334">
        <v>45449</v>
      </c>
      <c r="D7" s="344" t="s">
        <v>0</v>
      </c>
      <c r="E7" s="335" t="s">
        <v>1094</v>
      </c>
      <c r="F7" s="342"/>
      <c r="G7" s="342"/>
      <c r="H7" s="342"/>
      <c r="I7" s="342"/>
    </row>
    <row r="8" spans="1:9" s="346" customFormat="1" ht="12.75" customHeight="1" x14ac:dyDescent="0.2">
      <c r="B8" s="267">
        <v>2</v>
      </c>
      <c r="C8" s="268">
        <v>45544</v>
      </c>
      <c r="D8" s="269" t="s">
        <v>1574</v>
      </c>
      <c r="E8" s="370" t="s">
        <v>1354</v>
      </c>
    </row>
    <row r="9" spans="1:9" s="346" customFormat="1" ht="12.75" customHeight="1" x14ac:dyDescent="0.2">
      <c r="B9" s="267">
        <v>3</v>
      </c>
      <c r="C9" s="268">
        <v>45587</v>
      </c>
      <c r="D9" s="269" t="s">
        <v>1647</v>
      </c>
      <c r="E9" s="620" t="s">
        <v>1648</v>
      </c>
    </row>
    <row r="10" spans="1:9" s="346" customFormat="1" ht="12.75" customHeight="1" x14ac:dyDescent="0.2">
      <c r="B10" s="267"/>
      <c r="C10" s="268"/>
      <c r="D10" s="269"/>
      <c r="E10" s="370"/>
    </row>
    <row r="11" spans="1:9" s="346" customFormat="1" ht="12.75" customHeight="1" x14ac:dyDescent="0.2">
      <c r="B11" s="267"/>
      <c r="C11" s="268"/>
      <c r="D11" s="269"/>
      <c r="E11" s="370"/>
    </row>
    <row r="12" spans="1:9" s="346" customFormat="1" ht="12.75" customHeight="1" x14ac:dyDescent="0.2">
      <c r="B12" s="267"/>
      <c r="C12" s="268"/>
      <c r="D12" s="269"/>
      <c r="E12" s="370"/>
    </row>
    <row r="13" spans="1:9" s="346" customFormat="1" ht="12.75" customHeight="1" x14ac:dyDescent="0.2">
      <c r="B13" s="267"/>
      <c r="C13" s="268"/>
      <c r="D13" s="269"/>
      <c r="E13" s="370"/>
    </row>
    <row r="14" spans="1:9" s="346" customFormat="1" ht="12.75" customHeight="1" x14ac:dyDescent="0.2">
      <c r="B14" s="267"/>
      <c r="C14" s="268"/>
      <c r="D14" s="269"/>
      <c r="E14" s="370"/>
    </row>
    <row r="15" spans="1:9" s="346" customFormat="1" ht="12.75" customHeight="1" x14ac:dyDescent="0.2">
      <c r="B15" s="267"/>
      <c r="C15" s="268"/>
      <c r="D15" s="269"/>
      <c r="E15" s="370"/>
    </row>
    <row r="16" spans="1:9" s="346" customFormat="1" ht="12.75" customHeight="1" x14ac:dyDescent="0.2">
      <c r="B16" s="267"/>
      <c r="C16" s="268"/>
      <c r="D16" s="269"/>
      <c r="E16" s="370"/>
    </row>
    <row r="17" spans="2:5" s="346" customFormat="1" ht="12.75" customHeight="1" x14ac:dyDescent="0.2">
      <c r="B17" s="267"/>
      <c r="C17" s="268"/>
      <c r="D17" s="269"/>
      <c r="E17" s="370"/>
    </row>
    <row r="18" spans="2:5" s="346" customFormat="1" ht="12.75" customHeight="1" x14ac:dyDescent="0.2">
      <c r="B18" s="267"/>
      <c r="C18" s="268"/>
      <c r="D18" s="269"/>
      <c r="E18" s="370"/>
    </row>
    <row r="19" spans="2:5" s="346" customFormat="1" ht="12.75" customHeight="1" x14ac:dyDescent="0.2">
      <c r="B19" s="267"/>
      <c r="C19" s="268"/>
      <c r="D19" s="269"/>
      <c r="E19" s="370"/>
    </row>
    <row r="20" spans="2:5" s="346" customFormat="1" ht="12.75" customHeight="1" x14ac:dyDescent="0.2">
      <c r="B20" s="267"/>
      <c r="C20" s="268"/>
      <c r="D20" s="269"/>
      <c r="E20" s="37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6780-D125-44D3-A664-C64BD4AC7774}">
  <sheetPr>
    <tabColor rgb="FFD4ECF9"/>
  </sheetPr>
  <dimension ref="A1:I29"/>
  <sheetViews>
    <sheetView showGridLines="0" zoomScale="90" zoomScaleNormal="90" workbookViewId="0">
      <selection activeCell="D14" sqref="D14"/>
    </sheetView>
  </sheetViews>
  <sheetFormatPr baseColWidth="10" defaultColWidth="8.85546875" defaultRowHeight="12.75" customHeight="1" x14ac:dyDescent="0.25"/>
  <cols>
    <col min="1" max="1" width="5.7109375" style="263" customWidth="1"/>
    <col min="2" max="2" width="74.42578125" style="488" bestFit="1" customWidth="1"/>
    <col min="3" max="3" width="63.28515625" style="263" bestFit="1" customWidth="1"/>
    <col min="4" max="4" width="25.42578125" style="263" bestFit="1" customWidth="1"/>
    <col min="5" max="5" width="10.42578125" style="263" bestFit="1" customWidth="1"/>
    <col min="6" max="6" width="8.85546875" style="263"/>
    <col min="7" max="7" width="47.5703125" style="263" bestFit="1" customWidth="1"/>
    <col min="8" max="8" width="51.7109375" style="263" bestFit="1" customWidth="1"/>
    <col min="9" max="16384" width="8.85546875" style="263"/>
  </cols>
  <sheetData>
    <row r="1" spans="1:9" ht="20.100000000000001" customHeight="1" x14ac:dyDescent="0.25">
      <c r="A1" s="258">
        <v>3</v>
      </c>
      <c r="B1" s="451" t="str">
        <f>VLOOKUP("T.07.01",Translation,LanguageNo+1,FALSE)</f>
        <v>Inputs für die SST-Templates</v>
      </c>
      <c r="C1" s="452"/>
    </row>
    <row r="2" spans="1:9" ht="14.25" customHeight="1" x14ac:dyDescent="0.25">
      <c r="A2" s="453"/>
      <c r="B2" s="454"/>
      <c r="C2" s="455"/>
      <c r="D2" s="456"/>
      <c r="E2" s="456"/>
    </row>
    <row r="3" spans="1:9" ht="14.25" customHeight="1" x14ac:dyDescent="0.25">
      <c r="A3" s="453"/>
      <c r="B3" s="454"/>
      <c r="C3" s="455"/>
      <c r="D3" s="456"/>
      <c r="E3" s="456"/>
    </row>
    <row r="4" spans="1:9" ht="14.25" customHeight="1" x14ac:dyDescent="0.25">
      <c r="A4" s="456"/>
      <c r="B4" s="457"/>
      <c r="C4" s="456"/>
      <c r="D4" s="456"/>
      <c r="E4" s="456"/>
    </row>
    <row r="5" spans="1:9" ht="14.25" customHeight="1" x14ac:dyDescent="0.25">
      <c r="A5" s="456"/>
      <c r="B5" s="457"/>
      <c r="C5" s="456"/>
      <c r="D5" s="456"/>
      <c r="E5" s="456"/>
    </row>
    <row r="6" spans="1:9" s="461" customFormat="1" ht="24.95" customHeight="1" x14ac:dyDescent="0.25">
      <c r="A6" s="458"/>
      <c r="B6" s="459" t="s">
        <v>1624</v>
      </c>
      <c r="C6" s="460" t="s">
        <v>1625</v>
      </c>
      <c r="D6" s="460" t="s">
        <v>1626</v>
      </c>
      <c r="E6" s="460" t="s">
        <v>1627</v>
      </c>
      <c r="G6" s="459" t="s">
        <v>1624</v>
      </c>
      <c r="H6" s="460" t="s">
        <v>1625</v>
      </c>
      <c r="I6" s="460" t="s">
        <v>1628</v>
      </c>
    </row>
    <row r="7" spans="1:9" s="461" customFormat="1" ht="27" customHeight="1" x14ac:dyDescent="0.25">
      <c r="A7" s="458"/>
      <c r="B7" s="462" t="str">
        <f>VLOOKUP("T.07.02",Translation,LanguageNo+1,FALSE)</f>
        <v>SST-Währung</v>
      </c>
      <c r="C7" s="463"/>
      <c r="D7" s="464" t="s">
        <v>11</v>
      </c>
      <c r="E7" s="464" t="s">
        <v>11</v>
      </c>
      <c r="G7" s="465" t="str">
        <f>VLOOKUP("T.07.24",Translation,LanguageNo+1,FALSE)</f>
        <v>Summe aller Beteiligungswerte</v>
      </c>
      <c r="H7" s="466" t="str">
        <f>VLOOKUP("T.07.26",Translation,LanguageNo+1,FALSE)</f>
        <v>in die SST-Bilanz der Mutter einzukopieren</v>
      </c>
      <c r="I7" s="467">
        <f>SUM(D24:E24)</f>
        <v>0</v>
      </c>
    </row>
    <row r="8" spans="1:9" s="461" customFormat="1" ht="27" customHeight="1" x14ac:dyDescent="0.25">
      <c r="A8" s="458"/>
      <c r="B8" s="468" t="str">
        <f>VLOOKUP("T.07.28",Translation,LanguageNo+1,FALSE)</f>
        <v>erwartete Dividende</v>
      </c>
      <c r="C8" s="469"/>
      <c r="D8" s="470"/>
      <c r="E8" s="470"/>
      <c r="G8" s="462" t="str">
        <f>VLOOKUP("T.07.25",Translation,LanguageNo+1,FALSE)</f>
        <v>Summe aller erwarteten Dividenden</v>
      </c>
      <c r="H8" s="471" t="str">
        <f>VLOOKUP("T.07.27",Translation,LanguageNo+1,FALSE)</f>
        <v>in das erwartete Finanzergebnis der Mutter einzukopieren</v>
      </c>
      <c r="I8" s="472">
        <f>SUM(D8:E8)</f>
        <v>0</v>
      </c>
    </row>
    <row r="9" spans="1:9" s="461" customFormat="1" ht="30" customHeight="1" x14ac:dyDescent="0.25">
      <c r="A9" s="458"/>
      <c r="B9" s="465" t="str">
        <f>VLOOKUP("T.07.03",Translation,LanguageNo+1,FALSE)</f>
        <v>Lookthrough Methodik</v>
      </c>
      <c r="C9" s="473" t="str">
        <f>VLOOKUP("T.07.23",Translation,LanguageNo+1,FALSE)</f>
        <v>gemäss Technische Beschreibung Standardmodell Beteiligungen</v>
      </c>
      <c r="D9" s="474" t="s">
        <v>1629</v>
      </c>
      <c r="E9" s="474" t="s">
        <v>1630</v>
      </c>
      <c r="G9" s="460" t="str">
        <f>VLOOKUP("T.07.29",Translation,LanguageNo+1,FALSE)</f>
        <v>Nachsilbe zur Bezeichnung des ausgegebenen FDS</v>
      </c>
      <c r="H9" s="475" t="str">
        <f>VLOOKUP("T.07.30",Translation,LanguageNo+1,FALSE)</f>
        <v>in das Blatt Intro der Mutter einzukopieren</v>
      </c>
      <c r="I9" s="476"/>
    </row>
    <row r="10" spans="1:9" s="461" customFormat="1" ht="30.75" customHeight="1" x14ac:dyDescent="0.25">
      <c r="A10" s="458"/>
      <c r="B10" s="462" t="str">
        <f>VLOOKUP("T.07.04",Translation,LanguageNo+1,FALSE)</f>
        <v>SST-Nettoaktiven</v>
      </c>
      <c r="C10" s="463" t="s">
        <v>1631</v>
      </c>
      <c r="D10" s="464"/>
      <c r="E10" s="464"/>
    </row>
    <row r="11" spans="1:9" s="461" customFormat="1" ht="27" customHeight="1" x14ac:dyDescent="0.25">
      <c r="A11" s="458"/>
      <c r="B11" s="462" t="str">
        <f>VLOOKUP("T.07.06",Translation,LanguageNo+1,FALSE)</f>
        <v>Überschussfonds Gesamtgeschäft</v>
      </c>
      <c r="C11" s="463" t="s">
        <v>1632</v>
      </c>
      <c r="D11" s="464"/>
      <c r="E11" s="464"/>
    </row>
    <row r="12" spans="1:9" s="461" customFormat="1" ht="27" customHeight="1" x14ac:dyDescent="0.25">
      <c r="A12" s="458"/>
      <c r="B12" s="468" t="str">
        <f>VLOOKUP("T.07.07",Translation,LanguageNo+1,FALSE)</f>
        <v>davon fest zugeteilter Teil</v>
      </c>
      <c r="C12" s="469" t="s">
        <v>1633</v>
      </c>
      <c r="D12" s="470"/>
      <c r="E12" s="470"/>
    </row>
    <row r="13" spans="1:9" s="461" customFormat="1" ht="27" customHeight="1" x14ac:dyDescent="0.25">
      <c r="A13" s="458"/>
      <c r="B13" s="465" t="str">
        <f>VLOOKUP("T.07.08",Translation,LanguageNo+1,FALSE)</f>
        <v>unrealisierte Gewinne / Verluste auf Kapitalanlagen BVG</v>
      </c>
      <c r="C13" s="473" t="s">
        <v>1634</v>
      </c>
      <c r="D13" s="477">
        <f>'Differences_Stat_SSTBalance BVG'!M2</f>
        <v>0</v>
      </c>
      <c r="E13" s="477"/>
    </row>
    <row r="14" spans="1:9" s="461" customFormat="1" ht="27" customHeight="1" x14ac:dyDescent="0.25">
      <c r="A14" s="458"/>
      <c r="B14" s="462" t="str">
        <f>VLOOKUP("T.07.09",Translation,LanguageNo+1,FALSE)</f>
        <v>unrealisierte Gewinne / Verluste auf Versicherungsverpflichtungen BVG</v>
      </c>
      <c r="C14" s="463" t="s">
        <v>1635</v>
      </c>
      <c r="D14" s="477">
        <f>'Differences_Stat_SSTBalance BVG'!M3</f>
        <v>0</v>
      </c>
      <c r="E14" s="477"/>
    </row>
    <row r="15" spans="1:9" s="461" customFormat="1" ht="27" customHeight="1" x14ac:dyDescent="0.25">
      <c r="A15" s="458"/>
      <c r="B15" s="462" t="str">
        <f>VLOOKUP("T.07.10",Translation,LanguageNo+1,FALSE)</f>
        <v>Legal Quote</v>
      </c>
      <c r="C15" s="463" t="s">
        <v>1636</v>
      </c>
      <c r="D15" s="477">
        <v>0.9</v>
      </c>
      <c r="E15" s="477"/>
    </row>
    <row r="16" spans="1:9" s="461" customFormat="1" ht="27" customHeight="1" x14ac:dyDescent="0.25">
      <c r="A16" s="458"/>
      <c r="B16" s="468" t="str">
        <f>VLOOKUP("T.07.11",Translation,LanguageNo+1,FALSE)</f>
        <v>BVG Term</v>
      </c>
      <c r="C16" s="469" t="s">
        <v>1637</v>
      </c>
      <c r="D16" s="478">
        <f>D15*MAX(D13-D14,0)</f>
        <v>0</v>
      </c>
      <c r="E16" s="478"/>
    </row>
    <row r="17" spans="1:5" ht="27" customHeight="1" x14ac:dyDescent="0.25">
      <c r="A17" s="456"/>
      <c r="B17" s="465" t="str">
        <f>VLOOKUP("T.07.12",Translation,LanguageNo+1,FALSE)</f>
        <v>Barwert zukünftiger Überschüsse - Barwert fest zugesagter Überschüsse</v>
      </c>
      <c r="C17" s="466" t="s">
        <v>1638</v>
      </c>
      <c r="D17" s="479">
        <f>D16+MAX(D11-D12,0)</f>
        <v>0</v>
      </c>
      <c r="E17" s="479">
        <f>MAX(E11-E12,0)</f>
        <v>0</v>
      </c>
    </row>
    <row r="18" spans="1:5" ht="27" customHeight="1" x14ac:dyDescent="0.25">
      <c r="B18" s="480" t="str">
        <f>VLOOKUP("T.07.13",Translation,LanguageNo+1,FALSE)</f>
        <v>Beteiligungswert vor Steuern</v>
      </c>
      <c r="C18" s="481" t="s">
        <v>1639</v>
      </c>
      <c r="D18" s="482">
        <f>D10-D17</f>
        <v>0</v>
      </c>
      <c r="E18" s="482">
        <f>E10-E17</f>
        <v>0</v>
      </c>
    </row>
    <row r="19" spans="1:5" ht="27" customHeight="1" x14ac:dyDescent="0.25">
      <c r="B19" s="462" t="str">
        <f>VLOOKUP("T.07.14",Translation,LanguageNo+1,FALSE)</f>
        <v>Eigenkapital nach OR</v>
      </c>
      <c r="C19" s="471" t="s">
        <v>1640</v>
      </c>
      <c r="D19" s="464"/>
      <c r="E19" s="464"/>
    </row>
    <row r="20" spans="1:5" ht="24.75" customHeight="1" x14ac:dyDescent="0.25">
      <c r="B20" s="462" t="str">
        <f>VLOOKUP("T.07.15",Translation,LanguageNo+1,FALSE)</f>
        <v>Steuersatz</v>
      </c>
      <c r="C20" s="483" t="s">
        <v>1575</v>
      </c>
      <c r="D20" s="464">
        <v>0.21</v>
      </c>
      <c r="E20" s="464">
        <v>0.21</v>
      </c>
    </row>
    <row r="21" spans="1:5" ht="28.5" customHeight="1" x14ac:dyDescent="0.25">
      <c r="B21" s="468" t="str">
        <f>VLOOKUP("T.07.16",Translation,LanguageNo+1,FALSE)</f>
        <v>Steuerabzug</v>
      </c>
      <c r="C21" s="484" t="s">
        <v>1641</v>
      </c>
      <c r="D21" s="485">
        <f>MAX((D18-D19)*D20,0)</f>
        <v>0</v>
      </c>
      <c r="E21" s="485">
        <f>MAX((E18-E19)*E20,0)</f>
        <v>0</v>
      </c>
    </row>
    <row r="22" spans="1:5" ht="25.5" customHeight="1" x14ac:dyDescent="0.25">
      <c r="B22" s="465" t="str">
        <f>VLOOKUP("T.07.17",Translation,LanguageNo+1,FALSE)</f>
        <v>Wert einer SST-pflichtigen Beteiligung aus Transferperspektive</v>
      </c>
      <c r="C22" s="486" t="s">
        <v>1642</v>
      </c>
      <c r="D22" s="479">
        <f>D18-D21</f>
        <v>0</v>
      </c>
      <c r="E22" s="479">
        <f>E18-E21</f>
        <v>0</v>
      </c>
    </row>
    <row r="23" spans="1:5" ht="24.75" customHeight="1" x14ac:dyDescent="0.25">
      <c r="B23" s="460" t="str">
        <f>VLOOKUP("T.07.18",Translation,LanguageNo+1,FALSE)</f>
        <v>Beteiligungsanteil</v>
      </c>
      <c r="C23" s="484"/>
      <c r="D23" s="470">
        <v>1</v>
      </c>
      <c r="E23" s="470">
        <v>1</v>
      </c>
    </row>
    <row r="24" spans="1:5" ht="24.75" customHeight="1" x14ac:dyDescent="0.25">
      <c r="B24" s="465" t="str">
        <f>VLOOKUP("T.07.19",Translation,LanguageNo+1,FALSE)</f>
        <v>Beteiligungswert</v>
      </c>
      <c r="C24" s="466" t="str">
        <f>VLOOKUP("T.07.23",Translation,LanguageNo+1,FALSE)</f>
        <v>gemäss Technische Beschreibung Standardmodell Beteiligungen</v>
      </c>
      <c r="D24" s="467">
        <f>D23*D22</f>
        <v>0</v>
      </c>
      <c r="E24" s="467">
        <f>E23*E22</f>
        <v>0</v>
      </c>
    </row>
    <row r="25" spans="1:5" ht="25.5" customHeight="1" x14ac:dyDescent="0.25">
      <c r="B25" s="462" t="str">
        <f>VLOOKUP("T.07.20",Translation,LanguageNo+1,FALSE)</f>
        <v>Skalierungsfaktor</v>
      </c>
      <c r="C25" s="471" t="str">
        <f>VLOOKUP("T.07.23",Translation,LanguageNo+1,FALSE)</f>
        <v>gemäss Technische Beschreibung Standardmodell Beteiligungen</v>
      </c>
      <c r="D25" s="472" t="e">
        <f>D23*IF(D9="Skalierung",D22/(D22+D17+D21), (1-D20)*(D22+D21)/(D22+D17+D21))</f>
        <v>#DIV/0!</v>
      </c>
      <c r="E25" s="472" t="e">
        <f>E23*E22/(E22+E17+E21)</f>
        <v>#DIV/0!</v>
      </c>
    </row>
    <row r="26" spans="1:5" ht="24.75" customHeight="1" x14ac:dyDescent="0.25">
      <c r="B26" s="462" t="str">
        <f>VLOOKUP("T.07.21",Translation,LanguageNo+1,FALSE)</f>
        <v>LLPO anwenden</v>
      </c>
      <c r="C26" s="471" t="str">
        <f>VLOOKUP("T.07.23",Translation,LanguageNo+1,FALSE)</f>
        <v>gemäss Technische Beschreibung Standardmodell Beteiligungen</v>
      </c>
      <c r="D26" s="472" t="s">
        <v>1643</v>
      </c>
      <c r="E26" s="472" t="s">
        <v>1643</v>
      </c>
    </row>
    <row r="27" spans="1:5" ht="27" customHeight="1" x14ac:dyDescent="0.25">
      <c r="B27" s="468" t="str">
        <f>VLOOKUP("T.07.22",Translation,LanguageNo+1,FALSE)</f>
        <v>Simulationen der Tochter unter Marktrisiko der Beteiligungen ausweisen</v>
      </c>
      <c r="C27" s="484" t="str">
        <f>VLOOKUP("T.07.23",Translation,LanguageNo+1,FALSE)</f>
        <v>gemäss Technische Beschreibung Standardmodell Beteiligungen</v>
      </c>
      <c r="D27" s="487" t="s">
        <v>1644</v>
      </c>
      <c r="E27" s="487" t="s">
        <v>1644</v>
      </c>
    </row>
    <row r="29" spans="1:5" ht="28.5" customHeight="1" x14ac:dyDescent="0.25"/>
  </sheetData>
  <dataValidations count="4">
    <dataValidation type="list" allowBlank="1" showInputMessage="1" showErrorMessage="1" sqref="D26:E27" xr:uid="{D0DFB92E-8BAF-4A5F-80C6-79A088DC5E6E}">
      <formula1>"Yes, No"</formula1>
    </dataValidation>
    <dataValidation type="list" allowBlank="1" showInputMessage="1" showErrorMessage="1" sqref="E9" xr:uid="{09B944D8-7242-41D0-87CA-448692C64081}">
      <formula1>"Skalierung"</formula1>
    </dataValidation>
    <dataValidation type="list" allowBlank="1" showInputMessage="1" showErrorMessage="1" sqref="D9" xr:uid="{7CC890EE-6808-4621-856D-DFF595CB3A26}">
      <formula1>"Skalierung, Modifizierte Skalierung"</formula1>
    </dataValidation>
    <dataValidation type="list" allowBlank="1" showInputMessage="1" showErrorMessage="1" sqref="D7:E7" xr:uid="{53869881-89BA-455D-A521-711AC1E8DFEE}">
      <formula1>"CHF, EUR, USD, GBP, JPY"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rgb="FFD4ECF9"/>
    <pageSetUpPr fitToPage="1"/>
  </sheetPr>
  <dimension ref="A1:V308"/>
  <sheetViews>
    <sheetView showGridLines="0" topLeftCell="A128" zoomScale="85" zoomScaleNormal="85" workbookViewId="0">
      <selection activeCell="C152" sqref="C152:D152"/>
    </sheetView>
  </sheetViews>
  <sheetFormatPr baseColWidth="10" defaultColWidth="8.5703125" defaultRowHeight="12.75" x14ac:dyDescent="0.25"/>
  <cols>
    <col min="1" max="1" width="5.5703125" style="63" customWidth="1"/>
    <col min="2" max="2" width="5.5703125" style="47" customWidth="1"/>
    <col min="3" max="3" width="12" style="424" customWidth="1"/>
    <col min="4" max="4" width="14.5703125" style="43" customWidth="1"/>
    <col min="5" max="5" width="101.140625" style="48" customWidth="1"/>
    <col min="6" max="6" width="12.5703125" style="49" customWidth="1"/>
    <col min="7" max="7" width="12.5703125" style="299" customWidth="1"/>
    <col min="8" max="8" width="8.5703125" style="63" customWidth="1"/>
    <col min="9" max="9" width="45" style="63" customWidth="1"/>
    <col min="10" max="16" width="15.5703125" style="63" customWidth="1"/>
    <col min="17" max="18" width="8.5703125" style="63" customWidth="1"/>
    <col min="19" max="16384" width="8.5703125" style="63"/>
  </cols>
  <sheetData>
    <row r="1" spans="1:20" ht="20.100000000000001" customHeight="1" x14ac:dyDescent="0.25">
      <c r="A1" s="258">
        <v>4</v>
      </c>
      <c r="B1" s="259" t="str">
        <f>VLOOKUP("T.06.01",Translation,LanguageNo+1,FALSE)</f>
        <v>SST-Bilanz</v>
      </c>
      <c r="C1" s="423"/>
      <c r="E1" s="127"/>
      <c r="F1" s="45"/>
      <c r="G1" s="298"/>
      <c r="H1" s="127"/>
    </row>
    <row r="2" spans="1:20" ht="14.25" customHeight="1" x14ac:dyDescent="0.25"/>
    <row r="3" spans="1:20" ht="14.25" customHeight="1" x14ac:dyDescent="0.25"/>
    <row r="4" spans="1:20" ht="14.25" customHeight="1" x14ac:dyDescent="0.25">
      <c r="D4" s="50"/>
      <c r="F4" s="51"/>
      <c r="G4" s="300"/>
    </row>
    <row r="5" spans="1:20" ht="78.75" customHeight="1" x14ac:dyDescent="0.25">
      <c r="B5" s="52" t="str">
        <f>VLOOKUP("T.06.03",Translation,LanguageNo+1,FALSE)</f>
        <v>Staffelrechnung</v>
      </c>
      <c r="C5" s="425"/>
      <c r="D5" s="53"/>
      <c r="E5" s="54" t="str">
        <f>VLOOKUP("T.06.02",Translation,LanguageNo+1,FALSE)</f>
        <v>SST-Bilanz für das BVG-Geschäft</v>
      </c>
      <c r="F5" s="55" t="str">
        <f>VLOOKUP("T.06.06",Translation,LanguageNo+1,FALSE) &amp;Unit &amp;'Participation Inputs'!D7</f>
        <v>Marktkonformer Wert in Mio. CHF</v>
      </c>
      <c r="G5" s="55"/>
    </row>
    <row r="6" spans="1:20" ht="30" customHeight="1" x14ac:dyDescent="0.25">
      <c r="B6" s="56" t="s">
        <v>26</v>
      </c>
      <c r="C6" s="57" t="str">
        <f>VLOOKUP("T.06.04",Translation,LanguageNo+1,FALSE)</f>
        <v>Id EHP-AVO-Kontenplan</v>
      </c>
      <c r="D6" s="57" t="str">
        <f>VLOOKUP("T.06.05",Translation,LanguageNo+1,FALSE)</f>
        <v>MCV-Kontonummer</v>
      </c>
      <c r="E6" s="58"/>
      <c r="F6" s="59" t="str">
        <f>"31.12."&amp;Year-1</f>
        <v>31.12.2024</v>
      </c>
      <c r="G6" s="55" t="str">
        <f>VLOOKUP("T.06.07",Translation,LanguageNo+1,FALSE)</f>
        <v>in % der Total Aktiven</v>
      </c>
    </row>
    <row r="7" spans="1:20" ht="14.25" customHeight="1" x14ac:dyDescent="0.2">
      <c r="B7" s="372"/>
      <c r="C7" s="399"/>
      <c r="D7" s="400"/>
      <c r="E7" s="60" t="str">
        <f>VLOOKUP("T.06.08",Translation,LanguageNo+1,FALSE)</f>
        <v>1.1 Kapitalanlagen</v>
      </c>
      <c r="F7" s="403"/>
      <c r="G7" s="301"/>
      <c r="S7" s="311"/>
      <c r="T7" s="312"/>
    </row>
    <row r="8" spans="1:20" ht="14.25" customHeight="1" x14ac:dyDescent="0.25">
      <c r="B8" s="372" t="s">
        <v>143</v>
      </c>
      <c r="C8" s="399">
        <v>101100000</v>
      </c>
      <c r="D8" s="389" t="s">
        <v>871</v>
      </c>
      <c r="E8" s="62" t="str">
        <f>VLOOKUP("T.06.09",Translation,LanguageNo+1,FALSE)</f>
        <v>1.1.1 Immobilien</v>
      </c>
      <c r="F8" s="374">
        <f>F9+F12+F15+F18</f>
        <v>0</v>
      </c>
      <c r="G8" s="402">
        <f>IF($F$168=0,0,F8/$F$168)</f>
        <v>0</v>
      </c>
    </row>
    <row r="9" spans="1:20" ht="14.25" customHeight="1" x14ac:dyDescent="0.25">
      <c r="B9" s="372" t="s">
        <v>146</v>
      </c>
      <c r="C9" s="399">
        <v>101110000</v>
      </c>
      <c r="D9" s="389"/>
      <c r="E9" s="180" t="str">
        <f>VLOOKUP("T.06.10",Translation,LanguageNo+1,FALSE)</f>
        <v>Wohnimmobilien</v>
      </c>
      <c r="F9" s="375">
        <f>SUM(F10:F11)</f>
        <v>0</v>
      </c>
      <c r="G9" s="302"/>
    </row>
    <row r="10" spans="1:20" ht="14.25" customHeight="1" x14ac:dyDescent="0.25">
      <c r="B10" s="373" t="s">
        <v>149</v>
      </c>
      <c r="C10" s="395"/>
      <c r="D10" s="381"/>
      <c r="E10" s="83" t="str">
        <f>VLOOKUP("T.06.11",Translation,LanguageNo+1,FALSE)</f>
        <v>Wohnimmobilien: Inland</v>
      </c>
      <c r="F10" s="427"/>
      <c r="G10" s="303"/>
      <c r="S10" s="313"/>
      <c r="T10" s="66"/>
    </row>
    <row r="11" spans="1:20" ht="14.25" customHeight="1" x14ac:dyDescent="0.25">
      <c r="B11" s="373" t="s">
        <v>152</v>
      </c>
      <c r="C11" s="395"/>
      <c r="D11" s="381"/>
      <c r="E11" s="83" t="str">
        <f>VLOOKUP("T.06.12",Translation,LanguageNo+1,FALSE)</f>
        <v>Wohnimmobilien: Ausland</v>
      </c>
      <c r="F11" s="84"/>
      <c r="G11" s="303"/>
      <c r="S11" s="313"/>
      <c r="T11" s="66"/>
    </row>
    <row r="12" spans="1:20" ht="14.25" customHeight="1" x14ac:dyDescent="0.25">
      <c r="B12" s="373" t="s">
        <v>155</v>
      </c>
      <c r="C12" s="395">
        <v>101120100</v>
      </c>
      <c r="D12" s="381"/>
      <c r="E12" s="180" t="str">
        <f>VLOOKUP("T.06.13",Translation,LanguageNo+1,FALSE)</f>
        <v>Kommerzielle Liegenschaften</v>
      </c>
      <c r="F12" s="376">
        <f>SUM(F13:F14)</f>
        <v>0</v>
      </c>
      <c r="G12" s="303"/>
      <c r="S12" s="313"/>
      <c r="T12" s="66"/>
    </row>
    <row r="13" spans="1:20" ht="14.25" customHeight="1" x14ac:dyDescent="0.25">
      <c r="B13" s="373" t="s">
        <v>156</v>
      </c>
      <c r="C13" s="395"/>
      <c r="D13" s="381"/>
      <c r="E13" s="83" t="str">
        <f>VLOOKUP("T.06.14",Translation,LanguageNo+1,FALSE)</f>
        <v>Kommerzielle Liegenschaften: Inland</v>
      </c>
      <c r="F13" s="84"/>
      <c r="G13" s="303"/>
      <c r="S13" s="313"/>
      <c r="T13" s="67"/>
    </row>
    <row r="14" spans="1:20" ht="14.25" customHeight="1" x14ac:dyDescent="0.25">
      <c r="B14" s="373" t="s">
        <v>157</v>
      </c>
      <c r="C14" s="395"/>
      <c r="D14" s="381"/>
      <c r="E14" s="83" t="str">
        <f>VLOOKUP("T.06.15",Translation,LanguageNo+1,FALSE)</f>
        <v>Kommerzielle Liegenschaften: Ausland</v>
      </c>
      <c r="F14" s="84"/>
      <c r="G14" s="303"/>
      <c r="S14" s="313"/>
      <c r="T14" s="67"/>
    </row>
    <row r="15" spans="1:20" ht="14.25" customHeight="1" x14ac:dyDescent="0.25">
      <c r="B15" s="373" t="s">
        <v>159</v>
      </c>
      <c r="C15" s="395">
        <v>101130000</v>
      </c>
      <c r="D15" s="381"/>
      <c r="E15" s="180" t="str">
        <f>VLOOKUP("T.06.16",Translation,LanguageNo+1,FALSE)</f>
        <v>Gemischtgenutzte Immobilien</v>
      </c>
      <c r="F15" s="376">
        <f>SUM(F16:F17)</f>
        <v>0</v>
      </c>
      <c r="G15" s="303"/>
      <c r="S15" s="313"/>
      <c r="T15" s="67"/>
    </row>
    <row r="16" spans="1:20" ht="14.25" customHeight="1" x14ac:dyDescent="0.25">
      <c r="B16" s="373" t="s">
        <v>160</v>
      </c>
      <c r="C16" s="395"/>
      <c r="D16" s="381"/>
      <c r="E16" s="83" t="str">
        <f>VLOOKUP("T.06.17",Translation,LanguageNo+1,FALSE)</f>
        <v>Gemischtgenutzte Immobilien: Inland</v>
      </c>
      <c r="F16" s="84"/>
      <c r="G16" s="303"/>
      <c r="S16" s="313"/>
      <c r="T16" s="66"/>
    </row>
    <row r="17" spans="2:20" ht="14.25" customHeight="1" x14ac:dyDescent="0.25">
      <c r="B17" s="373" t="s">
        <v>161</v>
      </c>
      <c r="C17" s="395"/>
      <c r="D17" s="381"/>
      <c r="E17" s="83" t="str">
        <f>VLOOKUP("T.06.18",Translation,LanguageNo+1,FALSE)</f>
        <v>Gemischtgenutzte Immobilien: Ausland</v>
      </c>
      <c r="F17" s="84"/>
      <c r="G17" s="303"/>
      <c r="S17" s="313"/>
      <c r="T17" s="66"/>
    </row>
    <row r="18" spans="2:20" ht="14.25" customHeight="1" x14ac:dyDescent="0.25">
      <c r="B18" s="373" t="s">
        <v>162</v>
      </c>
      <c r="C18" s="395"/>
      <c r="D18" s="401"/>
      <c r="E18" s="97" t="str">
        <f>VLOOKUP("T.06.19",Translation,LanguageNo+1,FALSE)</f>
        <v>Übrige Immobilien</v>
      </c>
      <c r="F18" s="64"/>
      <c r="G18" s="303"/>
    </row>
    <row r="19" spans="2:20" ht="14.25" customHeight="1" x14ac:dyDescent="0.25">
      <c r="B19" s="184"/>
      <c r="C19" s="184"/>
      <c r="D19" s="70"/>
      <c r="E19" s="122"/>
      <c r="F19" s="72"/>
      <c r="G19" s="304"/>
    </row>
    <row r="20" spans="2:20" ht="14.25" customHeight="1" x14ac:dyDescent="0.25">
      <c r="B20" s="383" t="s">
        <v>163</v>
      </c>
      <c r="C20" s="383">
        <v>101200000</v>
      </c>
      <c r="D20" s="389" t="s">
        <v>872</v>
      </c>
      <c r="E20" s="377" t="str">
        <f>VLOOKUP("T.06.20",Translation,LanguageNo+1,FALSE)</f>
        <v>1.1.2 Beteiligungen</v>
      </c>
      <c r="F20" s="393">
        <f>F21+F25</f>
        <v>0</v>
      </c>
      <c r="G20" s="402">
        <f>IF($F$168=0,0,F20/$F$168)</f>
        <v>0</v>
      </c>
    </row>
    <row r="21" spans="2:20" ht="14.25" customHeight="1" x14ac:dyDescent="0.25">
      <c r="B21" s="383" t="s">
        <v>167</v>
      </c>
      <c r="C21" s="383">
        <v>101200100</v>
      </c>
      <c r="D21" s="389" t="s">
        <v>873</v>
      </c>
      <c r="E21" s="378" t="str">
        <f>VLOOKUP("T.06.21",Translation,LanguageNo+1,FALSE)</f>
        <v>Beteiligungen: Quote &gt; 50 %</v>
      </c>
      <c r="F21" s="394">
        <f>SUM(F22:F23)</f>
        <v>0</v>
      </c>
      <c r="G21" s="303"/>
      <c r="S21" s="313"/>
      <c r="T21" s="67"/>
    </row>
    <row r="22" spans="2:20" ht="14.25" customHeight="1" x14ac:dyDescent="0.25">
      <c r="B22" s="373" t="s">
        <v>169</v>
      </c>
      <c r="C22" s="381"/>
      <c r="D22" s="383"/>
      <c r="E22" s="379" t="str">
        <f>VLOOKUP("T.06.22",Translation,LanguageNo+1,FALSE)</f>
        <v>Beteiligungen an Versicherungsgesellschaften</v>
      </c>
      <c r="F22" s="64"/>
      <c r="G22" s="303"/>
      <c r="T22" s="67"/>
    </row>
    <row r="23" spans="2:20" ht="14.25" customHeight="1" x14ac:dyDescent="0.25">
      <c r="B23" s="383" t="s">
        <v>172</v>
      </c>
      <c r="C23" s="383"/>
      <c r="D23" s="381"/>
      <c r="E23" s="379" t="str">
        <f>VLOOKUP("T.06.23",Translation,LanguageNo+1,FALSE)</f>
        <v>Übrige Beteiligungen</v>
      </c>
      <c r="F23" s="101"/>
      <c r="G23" s="303"/>
    </row>
    <row r="24" spans="2:20" ht="14.25" customHeight="1" x14ac:dyDescent="0.25">
      <c r="B24" s="76"/>
      <c r="C24" s="76"/>
      <c r="D24" s="76"/>
      <c r="E24" s="122"/>
      <c r="F24" s="72"/>
      <c r="G24" s="304"/>
    </row>
    <row r="25" spans="2:20" ht="14.25" customHeight="1" x14ac:dyDescent="0.25">
      <c r="B25" s="373" t="s">
        <v>175</v>
      </c>
      <c r="C25" s="381">
        <v>101200200</v>
      </c>
      <c r="D25" s="389" t="s">
        <v>874</v>
      </c>
      <c r="E25" s="378" t="str">
        <f>VLOOKUP("T.06.24",Translation,LanguageNo+1,FALSE)</f>
        <v>Beteiligungen: Quote 20 % bis 50 %</v>
      </c>
      <c r="F25" s="397">
        <f>SUM(F26:F27)</f>
        <v>0</v>
      </c>
      <c r="G25" s="303"/>
      <c r="S25" s="313"/>
      <c r="T25" s="67"/>
    </row>
    <row r="26" spans="2:20" ht="14.25" customHeight="1" x14ac:dyDescent="0.25">
      <c r="B26" s="373" t="s">
        <v>176</v>
      </c>
      <c r="C26" s="381"/>
      <c r="D26" s="383"/>
      <c r="E26" s="379" t="str">
        <f>VLOOKUP("T.06.25",Translation,LanguageNo+1,FALSE)</f>
        <v>Beteiligungen an Versicherungsgesellschaften</v>
      </c>
      <c r="F26" s="64"/>
      <c r="G26" s="303"/>
      <c r="T26" s="67"/>
    </row>
    <row r="27" spans="2:20" ht="14.25" customHeight="1" x14ac:dyDescent="0.25">
      <c r="B27" s="383" t="s">
        <v>177</v>
      </c>
      <c r="C27" s="383"/>
      <c r="D27" s="381"/>
      <c r="E27" s="379" t="str">
        <f>VLOOKUP("T.06.26",Translation,LanguageNo+1,FALSE)</f>
        <v>Übrige Beteiligungen</v>
      </c>
      <c r="F27" s="101"/>
      <c r="G27" s="303"/>
    </row>
    <row r="28" spans="2:20" ht="14.25" customHeight="1" x14ac:dyDescent="0.25">
      <c r="B28" s="122"/>
      <c r="C28" s="184"/>
      <c r="D28" s="77"/>
      <c r="E28" s="122"/>
      <c r="F28" s="72"/>
      <c r="G28" s="304"/>
      <c r="I28" s="78"/>
      <c r="J28" s="631" t="str">
        <f>"Aufriss nach Rating " &amp;Unit &amp;'Participation Inputs'!D7</f>
        <v>Aufriss nach Rating in Mio. CHF</v>
      </c>
      <c r="K28" s="632" t="s">
        <v>178</v>
      </c>
      <c r="L28" s="632" t="s">
        <v>179</v>
      </c>
      <c r="M28" s="628" t="s">
        <v>180</v>
      </c>
      <c r="N28" s="628" t="s">
        <v>181</v>
      </c>
    </row>
    <row r="29" spans="2:20" ht="14.25" customHeight="1" x14ac:dyDescent="0.25">
      <c r="B29" s="373" t="s">
        <v>182</v>
      </c>
      <c r="C29" s="381">
        <v>101300000</v>
      </c>
      <c r="D29" s="389" t="s">
        <v>875</v>
      </c>
      <c r="E29" s="377" t="str">
        <f>VLOOKUP("T.06.27",Translation,LanguageNo+1,FALSE)</f>
        <v>1.1.3 Festverzinsliche Wertpapiere</v>
      </c>
      <c r="F29" s="388">
        <f>F30+F33+SUM(F35:F37)</f>
        <v>0</v>
      </c>
      <c r="G29" s="402">
        <f>IF($F$168=0,0,F29/$F$168)</f>
        <v>0</v>
      </c>
      <c r="I29" s="78"/>
      <c r="J29" s="631"/>
      <c r="K29" s="632"/>
      <c r="L29" s="632"/>
      <c r="M29" s="628"/>
      <c r="N29" s="628"/>
    </row>
    <row r="30" spans="2:20" ht="14.25" customHeight="1" x14ac:dyDescent="0.25">
      <c r="B30" s="373" t="s">
        <v>185</v>
      </c>
      <c r="C30" s="381">
        <v>101300100</v>
      </c>
      <c r="D30" s="389" t="s">
        <v>876</v>
      </c>
      <c r="E30" s="373" t="str">
        <f>VLOOKUP("T.06.28",Translation,LanguageNo+1,FALSE)</f>
        <v>Staats- und Zentralbankenanleihen</v>
      </c>
      <c r="F30" s="64"/>
      <c r="G30" s="303"/>
      <c r="I30" s="80" t="str">
        <f>VLOOKUP("T.06.28",Translation,LanguageNo+1,FALSE)</f>
        <v>Staats- und Zentralbankenanleihen</v>
      </c>
      <c r="J30" s="404" t="str">
        <f>IF(ABS(F30-SUM(K30:N30)) &lt; 0.01,"OK","Korrektur")</f>
        <v>OK</v>
      </c>
      <c r="K30" s="81"/>
      <c r="L30" s="82"/>
      <c r="M30" s="82"/>
      <c r="N30" s="82"/>
      <c r="S30" s="313"/>
      <c r="T30" s="67"/>
    </row>
    <row r="31" spans="2:20" ht="14.25" customHeight="1" x14ac:dyDescent="0.25">
      <c r="B31" s="373" t="s">
        <v>187</v>
      </c>
      <c r="C31" s="381"/>
      <c r="D31" s="406"/>
      <c r="E31" s="380" t="str">
        <f>VLOOKUP("T.06.29",Translation,LanguageNo+1,FALSE)</f>
        <v>davon Schweizer Kantone und Gemeinden</v>
      </c>
      <c r="F31" s="84"/>
      <c r="G31" s="303"/>
      <c r="I31" s="85"/>
      <c r="J31" s="85"/>
      <c r="K31" s="86"/>
      <c r="L31" s="87"/>
      <c r="M31" s="87"/>
      <c r="N31" s="87"/>
    </row>
    <row r="32" spans="2:20" ht="14.25" customHeight="1" x14ac:dyDescent="0.25">
      <c r="B32" s="373" t="s">
        <v>188</v>
      </c>
      <c r="C32" s="381"/>
      <c r="D32" s="406"/>
      <c r="E32" s="380" t="str">
        <f>VLOOKUP("T.06.30",Translation,LanguageNo+1,FALSE)</f>
        <v>davon andere öffentliche Körperschaften</v>
      </c>
      <c r="F32" s="84"/>
      <c r="G32" s="303"/>
      <c r="I32" s="61"/>
      <c r="J32" s="61"/>
      <c r="K32" s="88"/>
      <c r="L32" s="89"/>
      <c r="M32" s="89"/>
      <c r="N32" s="89"/>
    </row>
    <row r="33" spans="2:20" ht="14.25" customHeight="1" x14ac:dyDescent="0.25">
      <c r="B33" s="379" t="s">
        <v>192</v>
      </c>
      <c r="C33" s="381">
        <v>101300200</v>
      </c>
      <c r="D33" s="389" t="s">
        <v>877</v>
      </c>
      <c r="E33" s="373" t="str">
        <f>VLOOKUP("T.06.31",Translation,LanguageNo+1,FALSE)</f>
        <v>Unternehmensanleihen</v>
      </c>
      <c r="F33" s="64"/>
      <c r="G33" s="303"/>
      <c r="I33" s="122" t="str">
        <f>VLOOKUP("T.06.31",Translation,LanguageNo+1,FALSE)</f>
        <v>Unternehmensanleihen</v>
      </c>
      <c r="J33" s="379" t="str">
        <f>IF(ABS(F33-SUM(K33:N33)) &lt; 0.01,"OK","Korrektur")</f>
        <v>OK</v>
      </c>
      <c r="K33" s="40"/>
      <c r="L33" s="39"/>
      <c r="M33" s="39"/>
      <c r="N33" s="39"/>
      <c r="S33" s="313"/>
      <c r="T33" s="67"/>
    </row>
    <row r="34" spans="2:20" ht="14.25" customHeight="1" x14ac:dyDescent="0.25">
      <c r="B34" s="379" t="s">
        <v>196</v>
      </c>
      <c r="C34" s="381"/>
      <c r="D34" s="381"/>
      <c r="E34" s="380" t="str">
        <f>VLOOKUP("T.06.32",Translation,LanguageNo+1,FALSE)</f>
        <v>davon Banken und Effektenhändler</v>
      </c>
      <c r="F34" s="84"/>
      <c r="G34" s="303"/>
      <c r="I34" s="113"/>
      <c r="J34" s="113"/>
      <c r="K34" s="41"/>
      <c r="L34" s="90"/>
      <c r="M34" s="90"/>
      <c r="N34" s="90"/>
    </row>
    <row r="35" spans="2:20" ht="14.25" customHeight="1" x14ac:dyDescent="0.25">
      <c r="B35" s="379" t="s">
        <v>200</v>
      </c>
      <c r="C35" s="381">
        <v>101300300</v>
      </c>
      <c r="D35" s="389" t="s">
        <v>878</v>
      </c>
      <c r="E35" s="381" t="str">
        <f>VLOOKUP("T.06.33",Translation,LanguageNo+1,FALSE)</f>
        <v>Pfandbriefanleihen / Covered Bonds</v>
      </c>
      <c r="F35" s="64"/>
      <c r="G35" s="303"/>
      <c r="I35" s="629" t="str">
        <f>VLOOKUP("T.06.222",Translation,LanguageNo+1,FALSE)</f>
        <v>Alle anderen Anleihen (Pfandbriefanleihen, Wandelanleihen, sonstige Anleihen)</v>
      </c>
      <c r="J35" s="405" t="str">
        <f>IF(ABS(SUM(F35:F37)-SUM(K35:N35)) &lt; 0.01,"OK","Korrektur")</f>
        <v>OK</v>
      </c>
      <c r="K35" s="91"/>
      <c r="L35" s="92"/>
      <c r="M35" s="92"/>
      <c r="N35" s="92"/>
      <c r="T35" s="67"/>
    </row>
    <row r="36" spans="2:20" ht="14.25" customHeight="1" x14ac:dyDescent="0.25">
      <c r="B36" s="373" t="s">
        <v>205</v>
      </c>
      <c r="C36" s="381">
        <v>101300400</v>
      </c>
      <c r="D36" s="389" t="s">
        <v>879</v>
      </c>
      <c r="E36" s="381" t="str">
        <f>VLOOKUP("T.06.34",Translation,LanguageNo+1,FALSE)</f>
        <v>Wandelanleihen</v>
      </c>
      <c r="F36" s="64"/>
      <c r="G36" s="303"/>
      <c r="I36" s="630"/>
      <c r="J36" s="93"/>
      <c r="K36" s="93"/>
      <c r="L36" s="93"/>
      <c r="M36" s="93"/>
      <c r="N36" s="93"/>
      <c r="S36" s="313"/>
      <c r="T36" s="67"/>
    </row>
    <row r="37" spans="2:20" ht="14.25" customHeight="1" x14ac:dyDescent="0.25">
      <c r="B37" s="373" t="s">
        <v>209</v>
      </c>
      <c r="C37" s="381">
        <v>101310000</v>
      </c>
      <c r="D37" s="381" t="s">
        <v>880</v>
      </c>
      <c r="E37" s="373" t="str">
        <f>VLOOKUP("T.06.35",Translation,LanguageNo+1,FALSE)</f>
        <v>Sonstige Anleihen (inkl. Optionsanleihen, supranationale Anleihen)</v>
      </c>
      <c r="F37" s="101"/>
      <c r="G37" s="303"/>
    </row>
    <row r="38" spans="2:20" ht="14.25" customHeight="1" x14ac:dyDescent="0.25">
      <c r="B38" s="122"/>
      <c r="C38" s="184"/>
      <c r="D38" s="77"/>
      <c r="E38" s="122"/>
      <c r="F38" s="72"/>
      <c r="G38" s="304"/>
    </row>
    <row r="39" spans="2:20" ht="14.25" customHeight="1" x14ac:dyDescent="0.25">
      <c r="B39" s="373" t="s">
        <v>212</v>
      </c>
      <c r="C39" s="381">
        <v>101400000</v>
      </c>
      <c r="D39" s="389" t="s">
        <v>881</v>
      </c>
      <c r="E39" s="382" t="str">
        <f>VLOOKUP("T.06.36",Translation,LanguageNo+1,FALSE)</f>
        <v>1.1.4 Darlehen</v>
      </c>
      <c r="F39" s="407">
        <f>SUM(F40:F42)</f>
        <v>0</v>
      </c>
      <c r="G39" s="402">
        <f>IF($F$168=0,0,F39/$F$168)</f>
        <v>0</v>
      </c>
    </row>
    <row r="40" spans="2:20" ht="14.25" customHeight="1" x14ac:dyDescent="0.25">
      <c r="B40" s="373" t="s">
        <v>216</v>
      </c>
      <c r="C40" s="381"/>
      <c r="D40" s="406"/>
      <c r="E40" s="373" t="str">
        <f>VLOOKUP("T.06.37",Translation,LanguageNo+1,FALSE)</f>
        <v>Nachrangige Darlehen</v>
      </c>
      <c r="F40" s="64"/>
      <c r="G40" s="303"/>
    </row>
    <row r="41" spans="2:20" ht="14.25" customHeight="1" x14ac:dyDescent="0.25">
      <c r="B41" s="373" t="s">
        <v>220</v>
      </c>
      <c r="C41" s="381">
        <v>101410000</v>
      </c>
      <c r="D41" s="389" t="s">
        <v>882</v>
      </c>
      <c r="E41" s="373" t="str">
        <f>VLOOKUP("T.06.38",Translation,LanguageNo+1,FALSE)</f>
        <v>Policendarlehen</v>
      </c>
      <c r="F41" s="64"/>
      <c r="G41" s="303"/>
    </row>
    <row r="42" spans="2:20" ht="14.25" customHeight="1" x14ac:dyDescent="0.25">
      <c r="B42" s="379" t="s">
        <v>223</v>
      </c>
      <c r="C42" s="381"/>
      <c r="D42" s="381"/>
      <c r="E42" s="373" t="str">
        <f>VLOOKUP("T.06.39",Translation,LanguageNo+1,FALSE)</f>
        <v>Sonstige Darlehen</v>
      </c>
      <c r="F42" s="101"/>
      <c r="G42" s="303"/>
    </row>
    <row r="43" spans="2:20" ht="14.25" customHeight="1" x14ac:dyDescent="0.25">
      <c r="B43" s="122"/>
      <c r="C43" s="184"/>
      <c r="D43" s="77"/>
      <c r="E43" s="96"/>
      <c r="F43" s="72"/>
      <c r="G43" s="304"/>
    </row>
    <row r="44" spans="2:20" ht="14.25" customHeight="1" x14ac:dyDescent="0.25">
      <c r="B44" s="379" t="s">
        <v>227</v>
      </c>
      <c r="C44" s="381">
        <v>101500000</v>
      </c>
      <c r="D44" s="389" t="s">
        <v>883</v>
      </c>
      <c r="E44" s="382" t="str">
        <f>VLOOKUP("T.06.40",Translation,LanguageNo+1,FALSE)</f>
        <v>1.1.5 Hypotheken</v>
      </c>
      <c r="F44" s="393">
        <f>F45+F48</f>
        <v>0</v>
      </c>
      <c r="G44" s="402">
        <f>IF($F$168=0,0,F44/$F$168)</f>
        <v>0</v>
      </c>
      <c r="S44" s="313"/>
      <c r="T44" s="66"/>
    </row>
    <row r="45" spans="2:20" ht="14.25" customHeight="1" x14ac:dyDescent="0.25">
      <c r="B45" s="379" t="s">
        <v>231</v>
      </c>
      <c r="C45" s="381"/>
      <c r="D45" s="383"/>
      <c r="E45" s="383" t="str">
        <f>VLOOKUP("T.06.41",Translation,LanguageNo+1,FALSE)</f>
        <v>Hypotheken bis 80 % des Verkehrswertes</v>
      </c>
      <c r="F45" s="394">
        <f>F46+F47</f>
        <v>0</v>
      </c>
      <c r="G45" s="303"/>
    </row>
    <row r="46" spans="2:20" ht="14.25" customHeight="1" x14ac:dyDescent="0.25">
      <c r="B46" s="381" t="s">
        <v>235</v>
      </c>
      <c r="C46" s="381"/>
      <c r="D46" s="406"/>
      <c r="E46" s="380" t="str">
        <f>VLOOKUP("T.06.42",Translation,LanguageNo+1,FALSE)</f>
        <v>mit festen Zinssätzen</v>
      </c>
      <c r="F46" s="84"/>
      <c r="G46" s="303"/>
    </row>
    <row r="47" spans="2:20" ht="14.25" customHeight="1" x14ac:dyDescent="0.25">
      <c r="B47" s="379" t="s">
        <v>236</v>
      </c>
      <c r="C47" s="381"/>
      <c r="D47" s="406"/>
      <c r="E47" s="384" t="str">
        <f>VLOOKUP("T.06.43",Translation,LanguageNo+1,FALSE)</f>
        <v>mit variablen Zinssätzen</v>
      </c>
      <c r="F47" s="84"/>
      <c r="G47" s="303"/>
    </row>
    <row r="48" spans="2:20" ht="14.25" customHeight="1" x14ac:dyDescent="0.25">
      <c r="B48" s="379" t="s">
        <v>237</v>
      </c>
      <c r="C48" s="383"/>
      <c r="D48" s="406"/>
      <c r="E48" s="383" t="str">
        <f>VLOOKUP("T.06.44",Translation,LanguageNo+1,FALSE)</f>
        <v>Hypotheken mehr als 80 % des Verkehrswertes</v>
      </c>
      <c r="F48" s="397">
        <f>F49+F50</f>
        <v>0</v>
      </c>
      <c r="G48" s="303"/>
    </row>
    <row r="49" spans="2:20" ht="14.25" customHeight="1" x14ac:dyDescent="0.25">
      <c r="B49" s="379" t="s">
        <v>241</v>
      </c>
      <c r="C49" s="381"/>
      <c r="D49" s="383"/>
      <c r="E49" s="380" t="str">
        <f>VLOOKUP("T.06.45",Translation,LanguageNo+1,FALSE)</f>
        <v>mit festen Zinssätzen</v>
      </c>
      <c r="F49" s="84"/>
      <c r="G49" s="303"/>
    </row>
    <row r="50" spans="2:20" ht="14.25" customHeight="1" x14ac:dyDescent="0.25">
      <c r="B50" s="383" t="s">
        <v>242</v>
      </c>
      <c r="C50" s="383"/>
      <c r="D50" s="406"/>
      <c r="E50" s="380" t="str">
        <f>VLOOKUP("T.06.46",Translation,LanguageNo+1,FALSE)</f>
        <v>mit variablen Zinssätzen</v>
      </c>
      <c r="F50" s="238"/>
      <c r="G50" s="303"/>
    </row>
    <row r="51" spans="2:20" ht="14.25" customHeight="1" x14ac:dyDescent="0.25">
      <c r="B51" s="70"/>
      <c r="C51" s="70"/>
      <c r="D51" s="70"/>
      <c r="E51" s="99"/>
      <c r="F51" s="100"/>
      <c r="G51" s="304"/>
      <c r="S51" s="313"/>
      <c r="T51" s="66"/>
    </row>
    <row r="52" spans="2:20" ht="14.25" customHeight="1" x14ac:dyDescent="0.25">
      <c r="B52" s="379" t="s">
        <v>243</v>
      </c>
      <c r="C52" s="383">
        <v>101600000</v>
      </c>
      <c r="D52" s="389" t="s">
        <v>884</v>
      </c>
      <c r="E52" s="385" t="str">
        <f>VLOOKUP("T.06.47",Translation,LanguageNo+1,FALSE)</f>
        <v>1.1.6 Aktien</v>
      </c>
      <c r="F52" s="388">
        <f>SUM(F53:F55)</f>
        <v>0</v>
      </c>
      <c r="G52" s="402">
        <f>IF($F$168=0,0,F52/$F$168)</f>
        <v>0</v>
      </c>
    </row>
    <row r="53" spans="2:20" ht="14.25" customHeight="1" x14ac:dyDescent="0.25">
      <c r="B53" s="383" t="s">
        <v>246</v>
      </c>
      <c r="C53" s="381">
        <v>101600100</v>
      </c>
      <c r="D53" s="389" t="s">
        <v>885</v>
      </c>
      <c r="E53" s="383" t="str">
        <f>VLOOKUP("T.06.48",Translation,LanguageNo+1,FALSE)</f>
        <v>Aktien und ähnliche Wertschriften</v>
      </c>
      <c r="F53" s="64"/>
      <c r="G53" s="303"/>
    </row>
    <row r="54" spans="2:20" ht="14.25" customHeight="1" x14ac:dyDescent="0.25">
      <c r="B54" s="383" t="s">
        <v>250</v>
      </c>
      <c r="C54" s="381">
        <v>101600200</v>
      </c>
      <c r="D54" s="389" t="s">
        <v>886</v>
      </c>
      <c r="E54" s="383" t="str">
        <f>VLOOKUP("T.06.49",Translation,LanguageNo+1,FALSE)</f>
        <v>Aktien von Gruppengesellschaften</v>
      </c>
      <c r="F54" s="64"/>
      <c r="G54" s="303"/>
    </row>
    <row r="55" spans="2:20" ht="14.25" customHeight="1" x14ac:dyDescent="0.25">
      <c r="B55" s="381" t="s">
        <v>254</v>
      </c>
      <c r="C55" s="381">
        <v>101600300</v>
      </c>
      <c r="D55" s="389" t="s">
        <v>887</v>
      </c>
      <c r="E55" s="381" t="str">
        <f>VLOOKUP("T.06.50",Translation,LanguageNo+1,FALSE)</f>
        <v>Anlagen an Immobiliengesellschaften</v>
      </c>
      <c r="F55" s="64"/>
      <c r="G55" s="303"/>
    </row>
    <row r="56" spans="2:20" ht="14.25" customHeight="1" x14ac:dyDescent="0.25">
      <c r="B56" s="184"/>
      <c r="C56" s="184"/>
      <c r="D56" s="70"/>
      <c r="E56" s="122"/>
      <c r="F56" s="72"/>
      <c r="G56" s="304"/>
    </row>
    <row r="57" spans="2:20" ht="14.25" customHeight="1" x14ac:dyDescent="0.25">
      <c r="B57" s="381" t="s">
        <v>255</v>
      </c>
      <c r="C57" s="381">
        <v>101700000</v>
      </c>
      <c r="D57" s="389" t="s">
        <v>889</v>
      </c>
      <c r="E57" s="386" t="str">
        <f>VLOOKUP("T.06.51",Translation,LanguageNo+1,FALSE)</f>
        <v>1.1.7 Übrige Kapitalanlagen</v>
      </c>
      <c r="F57" s="393">
        <f>F58+F66+F76+F80</f>
        <v>0</v>
      </c>
      <c r="G57" s="402">
        <f>IF($F$168=0,0,F57/$F$168)</f>
        <v>0</v>
      </c>
    </row>
    <row r="58" spans="2:20" ht="14.25" customHeight="1" x14ac:dyDescent="0.25">
      <c r="B58" s="381" t="s">
        <v>258</v>
      </c>
      <c r="C58" s="381">
        <v>101710000</v>
      </c>
      <c r="D58" s="389" t="s">
        <v>890</v>
      </c>
      <c r="E58" s="385" t="str">
        <f>VLOOKUP("T.06.52",Translation,LanguageNo+1,FALSE)</f>
        <v>Kollektive Kapitalanlagen</v>
      </c>
      <c r="F58" s="394">
        <f>SUM(F59:F64)</f>
        <v>0</v>
      </c>
      <c r="G58" s="303"/>
      <c r="S58" s="313"/>
      <c r="T58" s="66"/>
    </row>
    <row r="59" spans="2:20" ht="14.25" customHeight="1" x14ac:dyDescent="0.25">
      <c r="B59" s="373" t="s">
        <v>259</v>
      </c>
      <c r="C59" s="381">
        <v>101710100</v>
      </c>
      <c r="D59" s="389" t="s">
        <v>891</v>
      </c>
      <c r="E59" s="373" t="str">
        <f>VLOOKUP("T.06.53",Translation,LanguageNo+1,FALSE)</f>
        <v>Anlagefonds: Immobilien</v>
      </c>
      <c r="F59" s="64"/>
      <c r="G59" s="303"/>
    </row>
    <row r="60" spans="2:20" ht="14.25" customHeight="1" x14ac:dyDescent="0.25">
      <c r="B60" s="373" t="s">
        <v>262</v>
      </c>
      <c r="C60" s="381">
        <v>101710200</v>
      </c>
      <c r="D60" s="389" t="s">
        <v>892</v>
      </c>
      <c r="E60" s="373" t="str">
        <f>VLOOKUP("T.06.54",Translation,LanguageNo+1,FALSE)</f>
        <v>Anlagefonds: Aktien</v>
      </c>
      <c r="F60" s="64"/>
      <c r="G60" s="303"/>
    </row>
    <row r="61" spans="2:20" ht="14.25" customHeight="1" x14ac:dyDescent="0.25">
      <c r="B61" s="373" t="s">
        <v>265</v>
      </c>
      <c r="C61" s="381">
        <v>101710300</v>
      </c>
      <c r="D61" s="389" t="s">
        <v>893</v>
      </c>
      <c r="E61" s="373" t="str">
        <f>VLOOKUP("T.06.55",Translation,LanguageNo+1,FALSE)</f>
        <v>Anlagefonds: festverzinsliche Wertpapiere</v>
      </c>
      <c r="F61" s="64"/>
      <c r="G61" s="303"/>
    </row>
    <row r="62" spans="2:20" ht="14.25" customHeight="1" x14ac:dyDescent="0.25">
      <c r="B62" s="373" t="s">
        <v>268</v>
      </c>
      <c r="C62" s="381">
        <v>101710400</v>
      </c>
      <c r="D62" s="389" t="s">
        <v>904</v>
      </c>
      <c r="E62" s="373" t="str">
        <f>VLOOKUP("T.06.56",Translation,LanguageNo+1,FALSE)</f>
        <v>Anlagefonds: Geldmarkt</v>
      </c>
      <c r="F62" s="64"/>
      <c r="G62" s="303"/>
    </row>
    <row r="63" spans="2:20" ht="14.25" customHeight="1" x14ac:dyDescent="0.25">
      <c r="B63" s="381" t="s">
        <v>271</v>
      </c>
      <c r="C63" s="381">
        <v>101710500</v>
      </c>
      <c r="D63" s="389" t="s">
        <v>905</v>
      </c>
      <c r="E63" s="373" t="str">
        <f>VLOOKUP("T.06.57",Translation,LanguageNo+1,FALSE)</f>
        <v>Anlagefonds: Übrige</v>
      </c>
      <c r="F63" s="64"/>
      <c r="G63" s="303"/>
    </row>
    <row r="64" spans="2:20" ht="14.25" customHeight="1" x14ac:dyDescent="0.25">
      <c r="B64" s="373" t="s">
        <v>274</v>
      </c>
      <c r="C64" s="381">
        <v>101710600</v>
      </c>
      <c r="D64" s="389" t="s">
        <v>906</v>
      </c>
      <c r="E64" s="373" t="str">
        <f>VLOOKUP("T.06.58",Translation,LanguageNo+1,FALSE)</f>
        <v>Anlagefonds: Gemischt</v>
      </c>
      <c r="F64" s="101"/>
      <c r="G64" s="303"/>
    </row>
    <row r="65" spans="2:20" ht="14.25" customHeight="1" x14ac:dyDescent="0.25">
      <c r="B65" s="70"/>
      <c r="C65" s="70"/>
      <c r="D65" s="70"/>
      <c r="E65" s="122"/>
      <c r="F65" s="72"/>
      <c r="G65" s="304"/>
    </row>
    <row r="66" spans="2:20" ht="14.25" customHeight="1" x14ac:dyDescent="0.25">
      <c r="B66" s="379" t="s">
        <v>277</v>
      </c>
      <c r="C66" s="381">
        <v>101720000</v>
      </c>
      <c r="D66" s="389" t="s">
        <v>909</v>
      </c>
      <c r="E66" s="382" t="str">
        <f>VLOOKUP("T.06.59",Translation,LanguageNo+1,FALSE)</f>
        <v>Alternative Kapitalanlagen</v>
      </c>
      <c r="F66" s="397">
        <f>SUM(F67:F68)+F71</f>
        <v>0</v>
      </c>
      <c r="G66" s="303"/>
      <c r="S66" s="313"/>
      <c r="T66" s="66"/>
    </row>
    <row r="67" spans="2:20" ht="14.25" customHeight="1" x14ac:dyDescent="0.25">
      <c r="B67" s="381" t="s">
        <v>280</v>
      </c>
      <c r="C67" s="381">
        <v>101721000</v>
      </c>
      <c r="D67" s="389" t="s">
        <v>910</v>
      </c>
      <c r="E67" s="373" t="str">
        <f>VLOOKUP("T.06.60",Translation,LanguageNo+1,FALSE)</f>
        <v>Hedgefonds</v>
      </c>
      <c r="F67" s="36"/>
      <c r="G67" s="303"/>
    </row>
    <row r="68" spans="2:20" ht="14.25" customHeight="1" x14ac:dyDescent="0.25">
      <c r="B68" s="381" t="s">
        <v>281</v>
      </c>
      <c r="C68" s="381">
        <v>101722000</v>
      </c>
      <c r="D68" s="389" t="s">
        <v>911</v>
      </c>
      <c r="E68" s="379" t="str">
        <f>VLOOKUP("T.06.61",Translation,LanguageNo+1,FALSE)</f>
        <v>Private Equity</v>
      </c>
      <c r="F68" s="36"/>
      <c r="G68" s="303"/>
    </row>
    <row r="69" spans="2:20" ht="14.25" customHeight="1" x14ac:dyDescent="0.25">
      <c r="B69" s="373" t="s">
        <v>282</v>
      </c>
      <c r="C69" s="381">
        <v>101722300</v>
      </c>
      <c r="D69" s="401"/>
      <c r="E69" s="387" t="str">
        <f>VLOOKUP("T.06.62",Translation,LanguageNo+1,FALSE)</f>
        <v>davon Partizipationen (Anteil &lt; 20%)</v>
      </c>
      <c r="F69" s="238"/>
      <c r="G69" s="303"/>
    </row>
    <row r="70" spans="2:20" ht="14.25" customHeight="1" x14ac:dyDescent="0.25">
      <c r="B70" s="184"/>
      <c r="C70" s="184"/>
      <c r="D70" s="70"/>
      <c r="E70" s="102"/>
      <c r="F70" s="100"/>
      <c r="G70" s="304"/>
    </row>
    <row r="71" spans="2:20" ht="14.25" customHeight="1" x14ac:dyDescent="0.25">
      <c r="B71" s="373" t="s">
        <v>286</v>
      </c>
      <c r="C71" s="381">
        <v>101723000</v>
      </c>
      <c r="D71" s="408"/>
      <c r="E71" s="381" t="str">
        <f>VLOOKUP("T.06.63",Translation,LanguageNo+1,FALSE)</f>
        <v>Andere Alternative Kapitalanlagen</v>
      </c>
      <c r="F71" s="390">
        <f>SUM(F72:F74)</f>
        <v>0</v>
      </c>
      <c r="G71" s="303"/>
    </row>
    <row r="72" spans="2:20" ht="14.25" customHeight="1" x14ac:dyDescent="0.25">
      <c r="B72" s="373" t="s">
        <v>288</v>
      </c>
      <c r="C72" s="381">
        <v>101723100</v>
      </c>
      <c r="D72" s="389" t="s">
        <v>912</v>
      </c>
      <c r="E72" s="387" t="str">
        <f>VLOOKUP("T.06.64",Translation,LanguageNo+1,FALSE)</f>
        <v>Private Debt</v>
      </c>
      <c r="F72" s="307"/>
      <c r="G72" s="303"/>
      <c r="S72" s="313"/>
      <c r="T72" s="67"/>
    </row>
    <row r="73" spans="2:20" ht="14.25" customHeight="1" x14ac:dyDescent="0.25">
      <c r="B73" s="379" t="s">
        <v>289</v>
      </c>
      <c r="C73" s="381">
        <v>101723200</v>
      </c>
      <c r="D73" s="389" t="s">
        <v>913</v>
      </c>
      <c r="E73" s="387" t="str">
        <f>VLOOKUP("T.06.65",Translation,LanguageNo+1,FALSE)</f>
        <v>Senior Secured Loans</v>
      </c>
      <c r="F73" s="106"/>
      <c r="G73" s="303"/>
    </row>
    <row r="74" spans="2:20" ht="14.25" customHeight="1" x14ac:dyDescent="0.25">
      <c r="B74" s="379" t="s">
        <v>290</v>
      </c>
      <c r="C74" s="381">
        <v>101723300</v>
      </c>
      <c r="D74" s="389" t="s">
        <v>914</v>
      </c>
      <c r="E74" s="387" t="str">
        <f>VLOOKUP("T.06.66",Translation,LanguageNo+1,FALSE)</f>
        <v>Rohstoffe</v>
      </c>
      <c r="F74" s="238"/>
      <c r="G74" s="303"/>
    </row>
    <row r="75" spans="2:20" ht="14.25" customHeight="1" x14ac:dyDescent="0.25">
      <c r="B75" s="184"/>
      <c r="C75" s="184"/>
      <c r="D75" s="70"/>
      <c r="E75" s="122"/>
      <c r="F75" s="72"/>
      <c r="G75" s="304"/>
    </row>
    <row r="76" spans="2:20" ht="14.25" customHeight="1" x14ac:dyDescent="0.25">
      <c r="B76" s="381" t="s">
        <v>291</v>
      </c>
      <c r="C76" s="381">
        <v>101730000</v>
      </c>
      <c r="D76" s="389" t="s">
        <v>915</v>
      </c>
      <c r="E76" s="382" t="str">
        <f>VLOOKUP("T.06.67",Translation,LanguageNo+1,FALSE)</f>
        <v>Strukturierte Produkte</v>
      </c>
      <c r="F76" s="409">
        <f>SUM(F77:F78)</f>
        <v>0</v>
      </c>
      <c r="G76" s="303"/>
    </row>
    <row r="77" spans="2:20" ht="14.25" customHeight="1" x14ac:dyDescent="0.25">
      <c r="B77" s="381" t="s">
        <v>294</v>
      </c>
      <c r="C77" s="381">
        <v>101730200</v>
      </c>
      <c r="D77" s="408"/>
      <c r="E77" s="373" t="str">
        <f>VLOOKUP("T.06.68",Translation,LanguageNo+1,FALSE)</f>
        <v>Insurance-Linked Securities (z.B. Cat Bonds)</v>
      </c>
      <c r="F77" s="104"/>
      <c r="G77" s="303"/>
    </row>
    <row r="78" spans="2:20" ht="14.25" customHeight="1" x14ac:dyDescent="0.25">
      <c r="B78" s="381" t="s">
        <v>297</v>
      </c>
      <c r="C78" s="381">
        <v>101730300</v>
      </c>
      <c r="D78" s="401"/>
      <c r="E78" s="373" t="str">
        <f>VLOOKUP("T.06.69",Translation,LanguageNo+1,FALSE)</f>
        <v>Andere strukturierte Produkte</v>
      </c>
      <c r="F78" s="101"/>
      <c r="G78" s="303"/>
    </row>
    <row r="79" spans="2:20" ht="14.25" customHeight="1" x14ac:dyDescent="0.25">
      <c r="B79" s="70"/>
      <c r="C79" s="70"/>
      <c r="D79" s="70"/>
      <c r="E79" s="184"/>
      <c r="F79" s="72"/>
      <c r="G79" s="304"/>
    </row>
    <row r="80" spans="2:20" ht="14.25" customHeight="1" x14ac:dyDescent="0.25">
      <c r="B80" s="381" t="s">
        <v>298</v>
      </c>
      <c r="C80" s="381">
        <v>101740000</v>
      </c>
      <c r="D80" s="389" t="s">
        <v>919</v>
      </c>
      <c r="E80" s="385" t="str">
        <f>VLOOKUP("T.06.70",Translation,LanguageNo+1,FALSE)</f>
        <v>Sonstige Kapitalanlagen</v>
      </c>
      <c r="F80" s="410">
        <f>F81+F86</f>
        <v>0</v>
      </c>
      <c r="G80" s="303"/>
    </row>
    <row r="81" spans="2:7" ht="14.25" customHeight="1" x14ac:dyDescent="0.25">
      <c r="B81" s="381" t="s">
        <v>300</v>
      </c>
      <c r="C81" s="381">
        <v>101741000</v>
      </c>
      <c r="D81" s="389" t="s">
        <v>920</v>
      </c>
      <c r="E81" s="373" t="str">
        <f>VLOOKUP("T.06.71",Translation,LanguageNo+1,FALSE)</f>
        <v>Verbriefte Forderungen</v>
      </c>
      <c r="F81" s="411">
        <f>SUM(F82:F85)</f>
        <v>0</v>
      </c>
      <c r="G81" s="303"/>
    </row>
    <row r="82" spans="2:7" ht="14.25" customHeight="1" x14ac:dyDescent="0.25">
      <c r="B82" s="381" t="s">
        <v>304</v>
      </c>
      <c r="C82" s="381">
        <v>101741100</v>
      </c>
      <c r="D82" s="389" t="s">
        <v>921</v>
      </c>
      <c r="E82" s="380" t="str">
        <f>VLOOKUP("T.06.72",Translation,LanguageNo+1,FALSE)</f>
        <v>Asset Backed Securities (ABS)</v>
      </c>
      <c r="F82" s="84"/>
      <c r="G82" s="303"/>
    </row>
    <row r="83" spans="2:7" ht="14.25" customHeight="1" x14ac:dyDescent="0.25">
      <c r="B83" s="381" t="s">
        <v>305</v>
      </c>
      <c r="C83" s="381">
        <v>101741200</v>
      </c>
      <c r="D83" s="389" t="s">
        <v>922</v>
      </c>
      <c r="E83" s="380" t="str">
        <f>VLOOKUP("T.06.73",Translation,LanguageNo+1,FALSE)</f>
        <v>Mortgage Backed Securities (MBS)</v>
      </c>
      <c r="F83" s="84"/>
      <c r="G83" s="303"/>
    </row>
    <row r="84" spans="2:7" ht="14.25" customHeight="1" x14ac:dyDescent="0.25">
      <c r="B84" s="379" t="s">
        <v>306</v>
      </c>
      <c r="C84" s="381">
        <v>101741300</v>
      </c>
      <c r="D84" s="389" t="s">
        <v>923</v>
      </c>
      <c r="E84" s="380" t="str">
        <f>VLOOKUP("T.06.74",Translation,LanguageNo+1,FALSE)</f>
        <v>Collateralized Debt Obligations (CDO) und Collateralized Loan Obligations (CLO)</v>
      </c>
      <c r="F84" s="84"/>
      <c r="G84" s="303"/>
    </row>
    <row r="85" spans="2:7" ht="14.25" customHeight="1" x14ac:dyDescent="0.25">
      <c r="B85" s="381" t="s">
        <v>307</v>
      </c>
      <c r="C85" s="381">
        <v>101741400</v>
      </c>
      <c r="D85" s="389" t="s">
        <v>924</v>
      </c>
      <c r="E85" s="380" t="str">
        <f>VLOOKUP("T.06.75",Translation,LanguageNo+1,FALSE)</f>
        <v>Sonstige verbriefte Forderungen</v>
      </c>
      <c r="F85" s="84"/>
      <c r="G85" s="303"/>
    </row>
    <row r="86" spans="2:7" ht="14.25" customHeight="1" x14ac:dyDescent="0.25">
      <c r="B86" s="381" t="s">
        <v>1432</v>
      </c>
      <c r="C86" s="381">
        <v>101742100</v>
      </c>
      <c r="D86" s="389" t="s">
        <v>925</v>
      </c>
      <c r="E86" s="381" t="str">
        <f>VLOOKUP("T.06.76",Translation,LanguageNo+1,FALSE)</f>
        <v>Andere Kapitalanlagen (Infrastrukturanlagen, Currency Overlay, u.a.)</v>
      </c>
      <c r="F86" s="101"/>
      <c r="G86" s="303"/>
    </row>
    <row r="87" spans="2:7" ht="14.25" customHeight="1" x14ac:dyDescent="0.25">
      <c r="B87" s="184"/>
      <c r="C87" s="184"/>
      <c r="D87" s="70"/>
      <c r="E87" s="122"/>
      <c r="F87" s="72"/>
      <c r="G87" s="304"/>
    </row>
    <row r="88" spans="2:7" ht="14.25" customHeight="1" x14ac:dyDescent="0.25">
      <c r="B88" s="379" t="s">
        <v>310</v>
      </c>
      <c r="C88" s="372">
        <v>101000000</v>
      </c>
      <c r="D88" s="372" t="s">
        <v>870</v>
      </c>
      <c r="E88" s="289" t="str">
        <f>VLOOKUP("T.06.77",Translation,LanguageNo+1,FALSE)</f>
        <v>Total Kapitalanlagen</v>
      </c>
      <c r="F88" s="388">
        <f>F8+F20+F29+F39+F44+F52+F57</f>
        <v>0</v>
      </c>
      <c r="G88" s="402">
        <f>IF($F$168=0,0,F88/$F$168)</f>
        <v>0</v>
      </c>
    </row>
    <row r="89" spans="2:7" ht="14.25" customHeight="1" x14ac:dyDescent="0.25">
      <c r="B89" s="184"/>
      <c r="C89" s="184"/>
      <c r="D89" s="70"/>
      <c r="E89" s="122"/>
      <c r="F89" s="72"/>
      <c r="G89" s="304"/>
    </row>
    <row r="90" spans="2:7" ht="14.25" customHeight="1" x14ac:dyDescent="0.25">
      <c r="B90" s="381"/>
      <c r="C90" s="38"/>
      <c r="D90" s="38"/>
      <c r="E90" s="110" t="str">
        <f>VLOOKUP("T.06.78",Translation,LanguageNo+1,FALSE)</f>
        <v>Übrige Aktiven</v>
      </c>
      <c r="F90" s="98"/>
      <c r="G90" s="303"/>
    </row>
    <row r="91" spans="2:7" ht="14.25" customHeight="1" x14ac:dyDescent="0.25">
      <c r="B91" s="184"/>
      <c r="C91" s="184"/>
      <c r="D91" s="70"/>
      <c r="E91" s="122"/>
      <c r="F91" s="72"/>
      <c r="G91" s="304"/>
    </row>
    <row r="92" spans="2:7" s="495" customFormat="1" ht="14.25" customHeight="1" x14ac:dyDescent="0.25">
      <c r="B92" s="489" t="s">
        <v>313</v>
      </c>
      <c r="C92" s="489">
        <v>102000000</v>
      </c>
      <c r="D92" s="491" t="s">
        <v>929</v>
      </c>
      <c r="E92" s="492" t="str">
        <f>VLOOKUP("T.06.79",Translation,LanguageNo+1,FALSE)</f>
        <v>1.2 Kapitalanlagen aus anteilgebundener Lebensversicherung</v>
      </c>
      <c r="F92" s="614">
        <f>F93+F95</f>
        <v>0</v>
      </c>
      <c r="G92" s="618">
        <f>IF($F$168=0,0,F92/$F$168)</f>
        <v>0</v>
      </c>
    </row>
    <row r="93" spans="2:7" s="495" customFormat="1" ht="14.25" customHeight="1" x14ac:dyDescent="0.25">
      <c r="B93" s="489" t="s">
        <v>316</v>
      </c>
      <c r="C93" s="489">
        <v>102100000</v>
      </c>
      <c r="D93" s="491" t="s">
        <v>930</v>
      </c>
      <c r="E93" s="492" t="str">
        <f>VLOOKUP("T.06.80",Translation,LanguageNo+1,FALSE)</f>
        <v>Fondsanteilgebundene Lebensversicherung</v>
      </c>
      <c r="F93" s="520"/>
      <c r="G93" s="601"/>
    </row>
    <row r="94" spans="2:7" s="495" customFormat="1" ht="14.25" customHeight="1" x14ac:dyDescent="0.25">
      <c r="B94" s="489"/>
      <c r="C94" s="489"/>
      <c r="D94" s="489"/>
      <c r="E94" s="501"/>
      <c r="F94" s="502"/>
      <c r="G94" s="601"/>
    </row>
    <row r="95" spans="2:7" s="495" customFormat="1" ht="14.25" customHeight="1" x14ac:dyDescent="0.25">
      <c r="B95" s="489" t="s">
        <v>319</v>
      </c>
      <c r="C95" s="489">
        <v>102200000</v>
      </c>
      <c r="D95" s="491" t="s">
        <v>931</v>
      </c>
      <c r="E95" s="503" t="str">
        <f>VLOOKUP("T.06.81",Translation,LanguageNo+1,FALSE)</f>
        <v>An interne Anlagebestände oder andere Bezugswerte gebundene Lebensversicherung</v>
      </c>
      <c r="F95" s="623">
        <f>SUM(F96:F101)</f>
        <v>0</v>
      </c>
      <c r="G95" s="601"/>
    </row>
    <row r="96" spans="2:7" s="495" customFormat="1" ht="14.25" customHeight="1" x14ac:dyDescent="0.25">
      <c r="B96" s="489" t="s">
        <v>321</v>
      </c>
      <c r="C96" s="489">
        <v>102200010</v>
      </c>
      <c r="D96" s="504"/>
      <c r="E96" s="489" t="str">
        <f>VLOOKUP("T.06.82",Translation,LanguageNo+1,FALSE)</f>
        <v>Immobilien</v>
      </c>
      <c r="F96" s="505"/>
      <c r="G96" s="601"/>
    </row>
    <row r="97" spans="2:7" s="495" customFormat="1" ht="14.25" customHeight="1" x14ac:dyDescent="0.25">
      <c r="B97" s="489" t="s">
        <v>325</v>
      </c>
      <c r="C97" s="489" t="s">
        <v>1433</v>
      </c>
      <c r="D97" s="504"/>
      <c r="E97" s="489" t="str">
        <f>VLOOKUP("T.06.83",Translation,LanguageNo+1,FALSE)</f>
        <v>Festverzinsliche Wertpapiere, Darlehen</v>
      </c>
      <c r="F97" s="505"/>
      <c r="G97" s="601"/>
    </row>
    <row r="98" spans="2:7" s="495" customFormat="1" ht="14.25" customHeight="1" x14ac:dyDescent="0.25">
      <c r="B98" s="489" t="s">
        <v>326</v>
      </c>
      <c r="C98" s="489">
        <v>102200040</v>
      </c>
      <c r="D98" s="504"/>
      <c r="E98" s="489" t="str">
        <f>VLOOKUP("T.06.84",Translation,LanguageNo+1,FALSE)</f>
        <v>Hypotheken</v>
      </c>
      <c r="F98" s="505"/>
      <c r="G98" s="601"/>
    </row>
    <row r="99" spans="2:7" s="495" customFormat="1" ht="14.25" customHeight="1" x14ac:dyDescent="0.25">
      <c r="B99" s="489" t="s">
        <v>327</v>
      </c>
      <c r="C99" s="489">
        <v>102200050</v>
      </c>
      <c r="D99" s="504"/>
      <c r="E99" s="489" t="str">
        <f>VLOOKUP("T.06.85",Translation,LanguageNo+1,FALSE)</f>
        <v>Aktien und ähnliche Wertschriften</v>
      </c>
      <c r="F99" s="505"/>
      <c r="G99" s="601"/>
    </row>
    <row r="100" spans="2:7" s="495" customFormat="1" ht="14.25" customHeight="1" x14ac:dyDescent="0.25">
      <c r="B100" s="489" t="s">
        <v>328</v>
      </c>
      <c r="C100" s="489">
        <v>102200070</v>
      </c>
      <c r="D100" s="504"/>
      <c r="E100" s="489" t="str">
        <f>VLOOKUP("T.06.86",Translation,LanguageNo+1,FALSE)</f>
        <v>Alternative Anlagen</v>
      </c>
      <c r="F100" s="505"/>
      <c r="G100" s="601"/>
    </row>
    <row r="101" spans="2:7" s="495" customFormat="1" ht="14.25" customHeight="1" x14ac:dyDescent="0.25">
      <c r="B101" s="489" t="s">
        <v>331</v>
      </c>
      <c r="C101" s="509" t="s">
        <v>1434</v>
      </c>
      <c r="D101" s="510"/>
      <c r="E101" s="489" t="str">
        <f>VLOOKUP("T.06.87",Translation,LanguageNo+1,FALSE)</f>
        <v>Übrige Anlagen</v>
      </c>
      <c r="F101" s="520"/>
      <c r="G101" s="601"/>
    </row>
    <row r="102" spans="2:7" ht="14.25" customHeight="1" x14ac:dyDescent="0.25">
      <c r="B102" s="70"/>
      <c r="C102" s="70"/>
      <c r="D102" s="70"/>
      <c r="E102" s="102"/>
      <c r="F102" s="72"/>
      <c r="G102" s="304"/>
    </row>
    <row r="103" spans="2:7" ht="14.25" customHeight="1" x14ac:dyDescent="0.25">
      <c r="B103" s="109" t="s">
        <v>335</v>
      </c>
      <c r="C103" s="381">
        <v>103000000</v>
      </c>
      <c r="D103" s="389" t="s">
        <v>932</v>
      </c>
      <c r="E103" s="378" t="str">
        <f>VLOOKUP("T.06.88",Translation,LanguageNo+1,FALSE)</f>
        <v>1.3 Forderungen aus derivativen Finanzinstrumenten</v>
      </c>
      <c r="F103" s="388">
        <f>SUM(F104:F109)</f>
        <v>0</v>
      </c>
      <c r="G103" s="402">
        <f>IF($F$168=0,0,F103/$F$168)</f>
        <v>0</v>
      </c>
    </row>
    <row r="104" spans="2:7" ht="14.25" customHeight="1" x14ac:dyDescent="0.25">
      <c r="B104" s="109" t="s">
        <v>339</v>
      </c>
      <c r="C104" s="381">
        <v>103000100</v>
      </c>
      <c r="D104" s="389" t="s">
        <v>933</v>
      </c>
      <c r="E104" s="381" t="str">
        <f>VLOOKUP("T.06.89",Translation,LanguageNo+1,FALSE)</f>
        <v>Zinsrisikobezogene Instrumente</v>
      </c>
      <c r="F104" s="64"/>
      <c r="G104" s="303"/>
    </row>
    <row r="105" spans="2:7" ht="14.25" customHeight="1" x14ac:dyDescent="0.25">
      <c r="B105" s="38" t="s">
        <v>343</v>
      </c>
      <c r="C105" s="381">
        <v>103000200</v>
      </c>
      <c r="D105" s="389" t="s">
        <v>934</v>
      </c>
      <c r="E105" s="381" t="str">
        <f>VLOOKUP("T.06.90",Translation,LanguageNo+1,FALSE)</f>
        <v>Währungsrisikobezogene Instrumente</v>
      </c>
      <c r="F105" s="64"/>
      <c r="G105" s="303"/>
    </row>
    <row r="106" spans="2:7" ht="14.25" customHeight="1" x14ac:dyDescent="0.25">
      <c r="B106" s="109" t="s">
        <v>347</v>
      </c>
      <c r="C106" s="381">
        <v>103000300</v>
      </c>
      <c r="D106" s="389" t="s">
        <v>935</v>
      </c>
      <c r="E106" s="381" t="str">
        <f>VLOOKUP("T.06.91",Translation,LanguageNo+1,FALSE)</f>
        <v>(Aktien-)Marktrisikobezogene Instrumente</v>
      </c>
      <c r="F106" s="64"/>
      <c r="G106" s="303"/>
    </row>
    <row r="107" spans="2:7" ht="14.25" customHeight="1" x14ac:dyDescent="0.25">
      <c r="B107" s="38" t="s">
        <v>351</v>
      </c>
      <c r="C107" s="381">
        <v>103000400</v>
      </c>
      <c r="D107" s="389" t="s">
        <v>936</v>
      </c>
      <c r="E107" s="381" t="str">
        <f>VLOOKUP("T.06.92",Translation,LanguageNo+1,FALSE)</f>
        <v>Kreditrisikobezogene Instrumente</v>
      </c>
      <c r="F107" s="64"/>
      <c r="G107" s="303"/>
    </row>
    <row r="108" spans="2:7" ht="14.25" customHeight="1" x14ac:dyDescent="0.25">
      <c r="B108" s="109" t="s">
        <v>355</v>
      </c>
      <c r="C108" s="381">
        <v>103000500</v>
      </c>
      <c r="D108" s="381" t="s">
        <v>937</v>
      </c>
      <c r="E108" s="381" t="str">
        <f>VLOOKUP("T.06.93",Translation,LanguageNo+1,FALSE)</f>
        <v>Versicherungsrisikobezogene Instrumente (z.B. Cat Derivate)</v>
      </c>
      <c r="F108" s="64"/>
      <c r="G108" s="303"/>
    </row>
    <row r="109" spans="2:7" ht="14.25" customHeight="1" x14ac:dyDescent="0.25">
      <c r="B109" s="113" t="s">
        <v>356</v>
      </c>
      <c r="C109" s="381">
        <v>103000600</v>
      </c>
      <c r="D109" s="381" t="s">
        <v>938</v>
      </c>
      <c r="E109" s="383" t="str">
        <f>VLOOKUP("T.06.94",Translation,LanguageNo+1,FALSE)</f>
        <v>Übrige derivative Instrumente</v>
      </c>
      <c r="F109" s="101"/>
      <c r="G109" s="303"/>
    </row>
    <row r="110" spans="2:7" ht="14.25" customHeight="1" x14ac:dyDescent="0.25">
      <c r="B110" s="70"/>
      <c r="C110" s="70"/>
      <c r="D110" s="70"/>
      <c r="E110" s="122"/>
      <c r="F110" s="72"/>
      <c r="G110" s="304"/>
    </row>
    <row r="111" spans="2:7" ht="14.25" customHeight="1" x14ac:dyDescent="0.25">
      <c r="B111" s="38" t="s">
        <v>360</v>
      </c>
      <c r="C111" s="381">
        <v>104000000</v>
      </c>
      <c r="D111" s="389" t="s">
        <v>939</v>
      </c>
      <c r="E111" s="108" t="str">
        <f>VLOOKUP("T.06.95",Translation,LanguageNo+1,FALSE)</f>
        <v>1.4 Depotforderungen aus übernommener Rückversicherung</v>
      </c>
      <c r="F111" s="239"/>
      <c r="G111" s="402">
        <f>IF($F$168=0,0,F111/$F$168)</f>
        <v>0</v>
      </c>
    </row>
    <row r="112" spans="2:7" ht="14.25" customHeight="1" x14ac:dyDescent="0.25">
      <c r="B112" s="76"/>
      <c r="C112" s="76"/>
      <c r="D112" s="76"/>
      <c r="E112" s="122"/>
      <c r="F112" s="72"/>
      <c r="G112" s="304"/>
    </row>
    <row r="113" spans="2:7" ht="14.25" customHeight="1" x14ac:dyDescent="0.25">
      <c r="B113" s="381" t="s">
        <v>363</v>
      </c>
      <c r="C113" s="381">
        <v>105000000</v>
      </c>
      <c r="D113" s="389" t="s">
        <v>940</v>
      </c>
      <c r="E113" s="108" t="str">
        <f>VLOOKUP("T.06.96",Translation,LanguageNo+1,FALSE)</f>
        <v>1.5 Flüssige Mittel</v>
      </c>
      <c r="F113" s="388">
        <f>SUM(F114:F116)</f>
        <v>0</v>
      </c>
      <c r="G113" s="402">
        <f>IF($F$168=0,0,F113/$F$168)</f>
        <v>0</v>
      </c>
    </row>
    <row r="114" spans="2:7" ht="14.25" customHeight="1" x14ac:dyDescent="0.25">
      <c r="B114" s="381" t="s">
        <v>367</v>
      </c>
      <c r="C114" s="381">
        <v>105000100</v>
      </c>
      <c r="D114" s="389" t="s">
        <v>941</v>
      </c>
      <c r="E114" s="38" t="str">
        <f>VLOOKUP("T.06.97",Translation,LanguageNo+1,FALSE)</f>
        <v>Bargeld</v>
      </c>
      <c r="F114" s="64"/>
      <c r="G114" s="303"/>
    </row>
    <row r="115" spans="2:7" ht="14.25" customHeight="1" x14ac:dyDescent="0.25">
      <c r="B115" s="381" t="s">
        <v>371</v>
      </c>
      <c r="C115" s="381">
        <v>105000200</v>
      </c>
      <c r="D115" s="389" t="s">
        <v>942</v>
      </c>
      <c r="E115" s="38" t="str">
        <f>VLOOKUP("T.06.98",Translation,LanguageNo+1,FALSE)</f>
        <v>Bankguthaben</v>
      </c>
      <c r="F115" s="64"/>
      <c r="G115" s="303"/>
    </row>
    <row r="116" spans="2:7" ht="14.25" customHeight="1" x14ac:dyDescent="0.25">
      <c r="B116" s="381" t="s">
        <v>375</v>
      </c>
      <c r="C116" s="381">
        <v>105000300</v>
      </c>
      <c r="D116" s="389" t="s">
        <v>943</v>
      </c>
      <c r="E116" s="38" t="str">
        <f>VLOOKUP("T.06.99",Translation,LanguageNo+1,FALSE)</f>
        <v>Forderungen aus Geldmarktanlagen</v>
      </c>
      <c r="F116" s="101"/>
      <c r="G116" s="303"/>
    </row>
    <row r="117" spans="2:7" ht="14.25" customHeight="1" x14ac:dyDescent="0.25">
      <c r="B117" s="70"/>
      <c r="C117" s="70"/>
      <c r="D117" s="70"/>
      <c r="E117" s="122"/>
      <c r="F117" s="72"/>
      <c r="G117" s="304"/>
    </row>
    <row r="118" spans="2:7" ht="14.25" customHeight="1" x14ac:dyDescent="0.25">
      <c r="B118" s="381" t="s">
        <v>379</v>
      </c>
      <c r="C118" s="381">
        <v>106000000</v>
      </c>
      <c r="D118" s="408"/>
      <c r="E118" s="108" t="str">
        <f>VLOOKUP("T.06.100",Translation,LanguageNo+1,FALSE)</f>
        <v>1.6 Anteil versicherungstechnische Rückstellungen aus Rückversicherung</v>
      </c>
      <c r="F118" s="388">
        <f>F119+F121+F122+F126+F128+SUM(F131:F133)</f>
        <v>0</v>
      </c>
      <c r="G118" s="402">
        <f>IF($F$168=0,0,F118/$F$168)</f>
        <v>0</v>
      </c>
    </row>
    <row r="119" spans="2:7" s="553" customFormat="1" ht="14.25" customHeight="1" x14ac:dyDescent="0.25">
      <c r="B119" s="546" t="s">
        <v>383</v>
      </c>
      <c r="C119" s="546">
        <v>106101000</v>
      </c>
      <c r="D119" s="547" t="s">
        <v>959</v>
      </c>
      <c r="E119" s="546" t="str">
        <f>VLOOKUP("T.06.101",Translation,LanguageNo+1,FALSE)</f>
        <v>Direktversicherung: Lebensversicherungsgeschäft (ohne ALV)</v>
      </c>
      <c r="F119" s="549"/>
      <c r="G119" s="599"/>
    </row>
    <row r="120" spans="2:7" s="584" customFormat="1" ht="14.25" customHeight="1" x14ac:dyDescent="0.25">
      <c r="B120" s="576" t="s">
        <v>387</v>
      </c>
      <c r="C120" s="576">
        <v>106160100</v>
      </c>
      <c r="D120" s="577"/>
      <c r="E120" s="586" t="str">
        <f>VLOOKUP("T.06.102",Translation,LanguageNo+1,FALSE)</f>
        <v>davon Anteil Rückversicherer (Leben) am Überschussfonds</v>
      </c>
      <c r="F120" s="597"/>
      <c r="G120" s="598"/>
    </row>
    <row r="121" spans="2:7" s="553" customFormat="1" ht="14.25" customHeight="1" x14ac:dyDescent="0.25">
      <c r="B121" s="546" t="s">
        <v>388</v>
      </c>
      <c r="C121" s="546">
        <v>106102000</v>
      </c>
      <c r="D121" s="547" t="s">
        <v>960</v>
      </c>
      <c r="E121" s="546" t="str">
        <f>VLOOKUP("T.06.103",Translation,LanguageNo+1,FALSE)</f>
        <v>Aktive Rückversicherung: Lebensversicherungsgeschäft (ohne ALV)</v>
      </c>
      <c r="F121" s="549"/>
      <c r="G121" s="599"/>
    </row>
    <row r="122" spans="2:7" s="495" customFormat="1" ht="14.25" customHeight="1" x14ac:dyDescent="0.25">
      <c r="B122" s="489" t="s">
        <v>392</v>
      </c>
      <c r="C122" s="489">
        <v>106201000</v>
      </c>
      <c r="D122" s="491" t="s">
        <v>961</v>
      </c>
      <c r="E122" s="489" t="str">
        <f>VLOOKUP("T.06.104",Translation,LanguageNo+1,FALSE)</f>
        <v>Direktversicherung: Schadenversicherungsgeschäft</v>
      </c>
      <c r="F122" s="600">
        <f>SUM(F123:F125)</f>
        <v>0</v>
      </c>
      <c r="G122" s="601"/>
    </row>
    <row r="123" spans="2:7" s="495" customFormat="1" ht="14.25" customHeight="1" x14ac:dyDescent="0.25">
      <c r="B123" s="489" t="s">
        <v>393</v>
      </c>
      <c r="C123" s="489"/>
      <c r="D123" s="491"/>
      <c r="E123" s="512" t="str">
        <f>VLOOKUP("T.06.105",Translation,LanguageNo+1,FALSE)</f>
        <v>Direktversicherung: Schadenversicherungsgeschäft - verdientes Geschäft</v>
      </c>
      <c r="F123" s="524"/>
      <c r="G123" s="601"/>
    </row>
    <row r="124" spans="2:7" s="495" customFormat="1" ht="14.25" customHeight="1" x14ac:dyDescent="0.25">
      <c r="B124" s="489" t="s">
        <v>394</v>
      </c>
      <c r="C124" s="489"/>
      <c r="D124" s="491"/>
      <c r="E124" s="512" t="str">
        <f>VLOOKUP("T.06.106",Translation,LanguageNo+1,FALSE)</f>
        <v>Direktversicherung: Schadenversicherungsgeschäft - unverdientes Geschäft</v>
      </c>
      <c r="F124" s="524"/>
      <c r="G124" s="601"/>
    </row>
    <row r="125" spans="2:7" s="495" customFormat="1" ht="14.25" customHeight="1" x14ac:dyDescent="0.25">
      <c r="B125" s="489" t="s">
        <v>395</v>
      </c>
      <c r="C125" s="489"/>
      <c r="D125" s="489"/>
      <c r="E125" s="517" t="str">
        <f>VLOOKUP("T.06.107",Translation,LanguageNo+1,FALSE)</f>
        <v>Anteil Rückversicherer (Schaden) am Überschussfonds</v>
      </c>
      <c r="F125" s="524"/>
      <c r="G125" s="601"/>
    </row>
    <row r="126" spans="2:7" s="495" customFormat="1" ht="14.25" customHeight="1" x14ac:dyDescent="0.25">
      <c r="B126" s="489" t="s">
        <v>399</v>
      </c>
      <c r="C126" s="489">
        <v>106202000</v>
      </c>
      <c r="D126" s="491" t="s">
        <v>962</v>
      </c>
      <c r="E126" s="489" t="str">
        <f>VLOOKUP("T.06.108",Translation,LanguageNo+1,FALSE)</f>
        <v>Direktversicherung: Krankenversicherungsgeschäft</v>
      </c>
      <c r="F126" s="506"/>
      <c r="G126" s="601"/>
    </row>
    <row r="127" spans="2:7" s="495" customFormat="1" ht="14.25" customHeight="1" x14ac:dyDescent="0.25">
      <c r="B127" s="489" t="s">
        <v>400</v>
      </c>
      <c r="C127" s="489"/>
      <c r="D127" s="489"/>
      <c r="E127" s="517" t="str">
        <f>VLOOKUP("T.06.109",Translation,LanguageNo+1,FALSE)</f>
        <v>davon Anteil Rückversicherer (Kranken) am Überschussfonds</v>
      </c>
      <c r="F127" s="524"/>
      <c r="G127" s="601"/>
    </row>
    <row r="128" spans="2:7" s="495" customFormat="1" ht="14.25" customHeight="1" x14ac:dyDescent="0.25">
      <c r="B128" s="489" t="s">
        <v>401</v>
      </c>
      <c r="C128" s="489">
        <v>106203000</v>
      </c>
      <c r="D128" s="491" t="s">
        <v>963</v>
      </c>
      <c r="E128" s="489" t="str">
        <f>VLOOKUP("T.06.110",Translation,LanguageNo+1,FALSE)</f>
        <v>Aktive Rückversicherung: Schadenversicherungsgeschäft</v>
      </c>
      <c r="F128" s="600">
        <f>SUM(F129:F130)</f>
        <v>0</v>
      </c>
      <c r="G128" s="601"/>
    </row>
    <row r="129" spans="2:7" s="495" customFormat="1" ht="14.25" customHeight="1" x14ac:dyDescent="0.25">
      <c r="B129" s="489" t="s">
        <v>402</v>
      </c>
      <c r="C129" s="489"/>
      <c r="D129" s="491"/>
      <c r="E129" s="512" t="str">
        <f>VLOOKUP("T.06.111",Translation,LanguageNo+1,FALSE)</f>
        <v>Aktive Rückversicherung (Schaden) - verdientes Geschäft</v>
      </c>
      <c r="F129" s="524"/>
      <c r="G129" s="601"/>
    </row>
    <row r="130" spans="2:7" s="495" customFormat="1" ht="14.25" customHeight="1" x14ac:dyDescent="0.25">
      <c r="B130" s="539" t="s">
        <v>1429</v>
      </c>
      <c r="C130" s="489"/>
      <c r="D130" s="491"/>
      <c r="E130" s="512" t="str">
        <f>VLOOKUP("T.06.112",Translation,LanguageNo+1,FALSE)</f>
        <v>Aktive Rückversicherung (Schaden) - unverdientes Geschäft</v>
      </c>
      <c r="F130" s="524"/>
      <c r="G130" s="601"/>
    </row>
    <row r="131" spans="2:7" s="495" customFormat="1" ht="14.25" customHeight="1" x14ac:dyDescent="0.25">
      <c r="B131" s="489" t="s">
        <v>1430</v>
      </c>
      <c r="C131" s="489">
        <v>106204000</v>
      </c>
      <c r="D131" s="491" t="s">
        <v>964</v>
      </c>
      <c r="E131" s="489" t="str">
        <f>VLOOKUP("T.06.113",Translation,LanguageNo+1,FALSE)</f>
        <v>Aktive Rückversicherung: Krankenversicherungsgeschäft</v>
      </c>
      <c r="F131" s="506"/>
      <c r="G131" s="601"/>
    </row>
    <row r="132" spans="2:7" s="495" customFormat="1" ht="14.25" customHeight="1" x14ac:dyDescent="0.25">
      <c r="B132" s="489" t="s">
        <v>403</v>
      </c>
      <c r="C132" s="489">
        <v>106301000</v>
      </c>
      <c r="D132" s="491" t="s">
        <v>965</v>
      </c>
      <c r="E132" s="489" t="str">
        <f>VLOOKUP("T.06.114",Translation,LanguageNo+1,FALSE)</f>
        <v>Direktversicherung: Anteilgebundenes Lebensversicherungsgeschäft</v>
      </c>
      <c r="F132" s="506"/>
      <c r="G132" s="601"/>
    </row>
    <row r="133" spans="2:7" s="495" customFormat="1" ht="14.25" customHeight="1" x14ac:dyDescent="0.25">
      <c r="B133" s="489" t="s">
        <v>404</v>
      </c>
      <c r="C133" s="489">
        <v>106302000</v>
      </c>
      <c r="D133" s="491" t="s">
        <v>966</v>
      </c>
      <c r="E133" s="489" t="str">
        <f>VLOOKUP("T.06.115",Translation,LanguageNo+1,FALSE)</f>
        <v>Aktive Rückversicherung: Anteilgebundenes Lebensversicherungsgeschäft</v>
      </c>
      <c r="F133" s="506"/>
      <c r="G133" s="601"/>
    </row>
    <row r="134" spans="2:7" ht="14.25" customHeight="1" x14ac:dyDescent="0.25">
      <c r="B134" s="70"/>
      <c r="C134" s="70"/>
      <c r="D134" s="70"/>
      <c r="E134" s="122"/>
      <c r="F134" s="72"/>
      <c r="G134" s="304"/>
    </row>
    <row r="135" spans="2:7" ht="14.25" customHeight="1" x14ac:dyDescent="0.25">
      <c r="B135" s="38" t="s">
        <v>407</v>
      </c>
      <c r="C135" s="381">
        <v>107000000</v>
      </c>
      <c r="D135" s="389" t="s">
        <v>967</v>
      </c>
      <c r="E135" s="108" t="str">
        <f>VLOOKUP("T.06.116",Translation,LanguageNo+1,FALSE)</f>
        <v>1.7 Sachanlagen</v>
      </c>
      <c r="F135" s="388">
        <f>SUM(F136:F137)</f>
        <v>0</v>
      </c>
      <c r="G135" s="402">
        <f>IF($F$168=0,0,F135/$F$168)</f>
        <v>0</v>
      </c>
    </row>
    <row r="136" spans="2:7" ht="14.25" customHeight="1" x14ac:dyDescent="0.25">
      <c r="B136" s="38" t="s">
        <v>411</v>
      </c>
      <c r="C136" s="381">
        <v>107000200</v>
      </c>
      <c r="D136" s="408"/>
      <c r="E136" s="38" t="str">
        <f>VLOOKUP("T.06.117",Translation,LanguageNo+1,FALSE)</f>
        <v>Betriebsliegenschaften</v>
      </c>
      <c r="F136" s="64"/>
      <c r="G136" s="303"/>
    </row>
    <row r="137" spans="2:7" ht="14.25" customHeight="1" x14ac:dyDescent="0.25">
      <c r="B137" s="38" t="s">
        <v>414</v>
      </c>
      <c r="C137" s="381" t="s">
        <v>1435</v>
      </c>
      <c r="D137" s="401"/>
      <c r="E137" s="38" t="str">
        <f>VLOOKUP("T.06.118",Translation,LanguageNo+1,FALSE)</f>
        <v>Sonstige Sachanlagen</v>
      </c>
      <c r="F137" s="101"/>
      <c r="G137" s="303"/>
    </row>
    <row r="138" spans="2:7" ht="14.25" customHeight="1" x14ac:dyDescent="0.25">
      <c r="B138" s="70"/>
      <c r="C138" s="70"/>
      <c r="D138" s="70"/>
      <c r="E138" s="122"/>
      <c r="F138" s="72"/>
      <c r="G138" s="304"/>
    </row>
    <row r="139" spans="2:7" ht="14.25" customHeight="1" x14ac:dyDescent="0.25">
      <c r="B139" s="38" t="s">
        <v>418</v>
      </c>
      <c r="C139" s="381">
        <v>108000000</v>
      </c>
      <c r="D139" s="389" t="s">
        <v>968</v>
      </c>
      <c r="E139" s="108" t="str">
        <f>VLOOKUP("T.06.119",Translation,LanguageNo+1,FALSE)</f>
        <v>1.8 Aktivierte Abschlusskosten</v>
      </c>
      <c r="F139" s="285"/>
      <c r="G139" s="402">
        <f>IF($F$168=0,0,F139/$F$168)</f>
        <v>0</v>
      </c>
    </row>
    <row r="140" spans="2:7" ht="14.25" customHeight="1" x14ac:dyDescent="0.25">
      <c r="B140" s="70"/>
      <c r="C140" s="70"/>
      <c r="D140" s="70"/>
      <c r="E140" s="122"/>
      <c r="F140" s="72"/>
      <c r="G140" s="304"/>
    </row>
    <row r="141" spans="2:7" ht="14.25" customHeight="1" x14ac:dyDescent="0.25">
      <c r="B141" s="38" t="s">
        <v>421</v>
      </c>
      <c r="C141" s="381">
        <v>109000000</v>
      </c>
      <c r="D141" s="389" t="s">
        <v>969</v>
      </c>
      <c r="E141" s="73" t="str">
        <f>VLOOKUP("T.06.120",Translation,LanguageNo+1,FALSE)</f>
        <v>1.9 Immaterielle Vermögenswerte</v>
      </c>
      <c r="F141" s="240"/>
      <c r="G141" s="402">
        <f>IF($F$168=0,0,F141/$F$168)</f>
        <v>0</v>
      </c>
    </row>
    <row r="142" spans="2:7" ht="14.25" customHeight="1" x14ac:dyDescent="0.25">
      <c r="B142" s="70"/>
      <c r="C142" s="70"/>
      <c r="D142" s="70"/>
      <c r="E142" s="184"/>
      <c r="F142" s="72"/>
      <c r="G142" s="304"/>
    </row>
    <row r="143" spans="2:7" ht="14.25" customHeight="1" x14ac:dyDescent="0.25">
      <c r="B143" s="38" t="s">
        <v>424</v>
      </c>
      <c r="C143" s="381">
        <v>110000000</v>
      </c>
      <c r="D143" s="389" t="s">
        <v>970</v>
      </c>
      <c r="E143" s="382" t="str">
        <f>VLOOKUP("T.06.121",Translation,LanguageNo+1,FALSE)</f>
        <v>1.10 Forderungen aus dem Versicherungsgeschäft</v>
      </c>
      <c r="F143" s="388">
        <f>F144+F145+SUM(F149:F150)</f>
        <v>0</v>
      </c>
      <c r="G143" s="402">
        <f>IF($F$168=0,0,F143/$F$168)</f>
        <v>0</v>
      </c>
    </row>
    <row r="144" spans="2:7" ht="14.25" customHeight="1" x14ac:dyDescent="0.25">
      <c r="B144" s="38" t="s">
        <v>425</v>
      </c>
      <c r="C144" s="381">
        <v>110100000</v>
      </c>
      <c r="D144" s="408"/>
      <c r="E144" s="381" t="str">
        <f>VLOOKUP("T.06.122",Translation,LanguageNo+1,FALSE)</f>
        <v>Forderungen gegenüber Versicherungsnehmerinnen und Versicherungsnehmern, Vermittlerinnen und Vermittlern</v>
      </c>
      <c r="F144" s="114"/>
      <c r="G144" s="303"/>
    </row>
    <row r="145" spans="2:7" ht="14.25" customHeight="1" x14ac:dyDescent="0.25">
      <c r="B145" s="38" t="s">
        <v>426</v>
      </c>
      <c r="C145" s="381">
        <v>110200000</v>
      </c>
      <c r="D145" s="408"/>
      <c r="E145" s="381" t="str">
        <f>VLOOKUP("T.06.123",Translation,LanguageNo+1,FALSE)</f>
        <v>Forderungen gegenüber Versicherungs- und Rückversicherungsgesellschaften</v>
      </c>
      <c r="F145" s="390">
        <f>SUM(F146:F148)</f>
        <v>0</v>
      </c>
      <c r="G145" s="303"/>
    </row>
    <row r="146" spans="2:7" ht="14.25" customHeight="1" x14ac:dyDescent="0.25">
      <c r="B146" s="38" t="s">
        <v>427</v>
      </c>
      <c r="C146" s="381">
        <v>110200100</v>
      </c>
      <c r="D146" s="408"/>
      <c r="E146" s="384" t="str">
        <f>VLOOKUP("T.06.124",Translation,LanguageNo+1,FALSE)</f>
        <v>Forderungen gegenüber Versicherungsgesellschaften: abgegebene</v>
      </c>
      <c r="F146" s="84"/>
      <c r="G146" s="303"/>
    </row>
    <row r="147" spans="2:7" ht="14.25" customHeight="1" x14ac:dyDescent="0.25">
      <c r="B147" s="113" t="s">
        <v>428</v>
      </c>
      <c r="C147" s="381">
        <v>110200200</v>
      </c>
      <c r="D147" s="408"/>
      <c r="E147" s="387" t="str">
        <f>VLOOKUP("T.06.125",Translation,LanguageNo+1,FALSE)</f>
        <v>Forderungen gegenüber Versicherungsgesellschaften: übernommene</v>
      </c>
      <c r="F147" s="84"/>
      <c r="G147" s="303"/>
    </row>
    <row r="148" spans="2:7" ht="14.25" customHeight="1" x14ac:dyDescent="0.25">
      <c r="B148" s="113" t="s">
        <v>429</v>
      </c>
      <c r="C148" s="381">
        <v>110200300</v>
      </c>
      <c r="D148" s="408"/>
      <c r="E148" s="387" t="str">
        <f>VLOOKUP("T.06.126",Translation,LanguageNo+1,FALSE)</f>
        <v>Forderungen gegenüber Versicherungsgesellschaften: übrige</v>
      </c>
      <c r="F148" s="84"/>
      <c r="G148" s="303"/>
    </row>
    <row r="149" spans="2:7" ht="14.25" customHeight="1" x14ac:dyDescent="0.25">
      <c r="B149" s="38" t="s">
        <v>430</v>
      </c>
      <c r="C149" s="381">
        <v>110300100</v>
      </c>
      <c r="D149" s="401"/>
      <c r="E149" s="381" t="str">
        <f>VLOOKUP("T.06.127",Translation,LanguageNo+1,FALSE)</f>
        <v>Sonstige Forderungen aus Versicherungs- und Rückversicherungstätigkeit</v>
      </c>
      <c r="F149" s="64"/>
      <c r="G149" s="303"/>
    </row>
    <row r="150" spans="2:7" ht="14.25" customHeight="1" x14ac:dyDescent="0.25">
      <c r="B150" s="38" t="s">
        <v>1436</v>
      </c>
      <c r="C150" s="381">
        <v>110400100</v>
      </c>
      <c r="D150" s="401"/>
      <c r="E150" s="381" t="str">
        <f>VLOOKUP("T.06.128",Translation,LanguageNo+1,FALSE)</f>
        <v>Sonstige Depotforderungen</v>
      </c>
      <c r="F150" s="101"/>
      <c r="G150" s="303"/>
    </row>
    <row r="151" spans="2:7" ht="14.25" customHeight="1" x14ac:dyDescent="0.25">
      <c r="B151" s="70"/>
      <c r="C151" s="70"/>
      <c r="D151" s="70"/>
      <c r="E151" s="70"/>
      <c r="F151" s="72"/>
      <c r="G151" s="304"/>
    </row>
    <row r="152" spans="2:7" ht="14.25" customHeight="1" x14ac:dyDescent="0.25">
      <c r="B152" s="38" t="s">
        <v>437</v>
      </c>
      <c r="C152" s="381">
        <v>111000000</v>
      </c>
      <c r="D152" s="389" t="s">
        <v>975</v>
      </c>
      <c r="E152" s="108" t="str">
        <f>VLOOKUP("T.06.129",Translation,LanguageNo+1,FALSE)</f>
        <v>1.11 Übrige Forderungen</v>
      </c>
      <c r="F152" s="239"/>
      <c r="G152" s="402">
        <f>IF($F$168=0,0,F152/$F$168)</f>
        <v>0</v>
      </c>
    </row>
    <row r="153" spans="2:7" ht="14.25" customHeight="1" x14ac:dyDescent="0.25">
      <c r="B153" s="70"/>
      <c r="C153" s="70"/>
      <c r="D153" s="70"/>
      <c r="E153" s="70"/>
      <c r="F153" s="72"/>
      <c r="G153" s="304"/>
    </row>
    <row r="154" spans="2:7" ht="14.25" customHeight="1" x14ac:dyDescent="0.25">
      <c r="B154" s="38" t="s">
        <v>441</v>
      </c>
      <c r="C154" s="381">
        <v>112000000</v>
      </c>
      <c r="D154" s="389" t="s">
        <v>976</v>
      </c>
      <c r="E154" s="385" t="str">
        <f>VLOOKUP("T.06.130",Translation,LanguageNo+1,FALSE)</f>
        <v>1.12 Sonstige Aktiven</v>
      </c>
      <c r="F154" s="388">
        <f>SUM(F155:F156)</f>
        <v>0</v>
      </c>
      <c r="G154" s="402">
        <f>IF($F$168=0,0,F154/$F$168)</f>
        <v>0</v>
      </c>
    </row>
    <row r="155" spans="2:7" ht="14.25" customHeight="1" x14ac:dyDescent="0.25">
      <c r="B155" s="38" t="s">
        <v>443</v>
      </c>
      <c r="C155" s="381"/>
      <c r="D155" s="381"/>
      <c r="E155" s="381" t="str">
        <f>VLOOKUP("T.06.131",Translation,LanguageNo+1,FALSE)</f>
        <v>Erhaltene Garantien</v>
      </c>
      <c r="F155" s="64"/>
      <c r="G155" s="303"/>
    </row>
    <row r="156" spans="2:7" ht="14.25" customHeight="1" x14ac:dyDescent="0.25">
      <c r="B156" s="38" t="s">
        <v>447</v>
      </c>
      <c r="C156" s="381"/>
      <c r="D156" s="406"/>
      <c r="E156" s="381" t="str">
        <f>VLOOKUP("T.06.132",Translation,LanguageNo+1,FALSE)</f>
        <v>Sonstige Vermögenswerte</v>
      </c>
      <c r="F156" s="114"/>
      <c r="G156" s="303"/>
    </row>
    <row r="157" spans="2:7" ht="14.25" customHeight="1" x14ac:dyDescent="0.25">
      <c r="B157" s="70"/>
      <c r="C157" s="70"/>
      <c r="D157" s="70"/>
      <c r="E157" s="70"/>
      <c r="F157" s="72"/>
      <c r="G157" s="304"/>
    </row>
    <row r="158" spans="2:7" ht="14.25" customHeight="1" x14ac:dyDescent="0.25">
      <c r="B158" s="38" t="s">
        <v>450</v>
      </c>
      <c r="C158" s="381">
        <v>113000000</v>
      </c>
      <c r="D158" s="389" t="s">
        <v>977</v>
      </c>
      <c r="E158" s="73" t="str">
        <f>VLOOKUP("T.06.133",Translation,LanguageNo+1,FALSE)</f>
        <v>1.13 Nicht einbezahltes Grundkapital</v>
      </c>
      <c r="F158" s="239"/>
      <c r="G158" s="402">
        <f>IF($F$168=0,0,F158/$F$168)</f>
        <v>0</v>
      </c>
    </row>
    <row r="159" spans="2:7" ht="14.25" customHeight="1" x14ac:dyDescent="0.25">
      <c r="B159" s="70"/>
      <c r="C159" s="70"/>
      <c r="D159" s="70"/>
      <c r="E159" s="70"/>
      <c r="F159" s="72"/>
      <c r="G159" s="304"/>
    </row>
    <row r="160" spans="2:7" ht="14.25" customHeight="1" x14ac:dyDescent="0.25">
      <c r="B160" s="38" t="s">
        <v>454</v>
      </c>
      <c r="C160" s="381">
        <v>114000000</v>
      </c>
      <c r="D160" s="389" t="s">
        <v>978</v>
      </c>
      <c r="E160" s="378" t="str">
        <f>VLOOKUP("T.06.134",Translation,LanguageNo+1,FALSE)</f>
        <v>1.14 Aktive Rechnungsabgrenzungen</v>
      </c>
      <c r="F160" s="388">
        <f>SUM(F161:F164)</f>
        <v>0</v>
      </c>
      <c r="G160" s="402">
        <f>IF($F$168=0,0,F160/$F$168)</f>
        <v>0</v>
      </c>
    </row>
    <row r="161" spans="2:22" ht="14.25" customHeight="1" x14ac:dyDescent="0.25">
      <c r="B161" s="38" t="s">
        <v>458</v>
      </c>
      <c r="C161" s="381">
        <v>114000100</v>
      </c>
      <c r="D161" s="408"/>
      <c r="E161" s="391" t="str">
        <f>VLOOKUP("T.06.135",Translation,LanguageNo+1,FALSE)</f>
        <v>Vorausbezahlte Versicherungsleistungen</v>
      </c>
      <c r="F161" s="64"/>
      <c r="G161" s="303"/>
    </row>
    <row r="162" spans="2:22" ht="14.25" customHeight="1" x14ac:dyDescent="0.25">
      <c r="B162" s="38" t="s">
        <v>462</v>
      </c>
      <c r="C162" s="381">
        <v>114000200</v>
      </c>
      <c r="D162" s="408"/>
      <c r="E162" s="381" t="str">
        <f>VLOOKUP("T.06.136",Translation,LanguageNo+1,FALSE)</f>
        <v>Abgegrenzte Zinsen und Mieten</v>
      </c>
      <c r="F162" s="64"/>
      <c r="G162" s="303"/>
    </row>
    <row r="163" spans="2:22" ht="14.25" customHeight="1" x14ac:dyDescent="0.25">
      <c r="B163" s="38" t="s">
        <v>466</v>
      </c>
      <c r="C163" s="381">
        <v>114000300</v>
      </c>
      <c r="D163" s="408"/>
      <c r="E163" s="381" t="str">
        <f>VLOOKUP("T.06.137",Translation,LanguageNo+1,FALSE)</f>
        <v>Latente Steuerforderungen</v>
      </c>
      <c r="F163" s="286"/>
      <c r="G163" s="303"/>
    </row>
    <row r="164" spans="2:22" ht="14.25" customHeight="1" x14ac:dyDescent="0.25">
      <c r="B164" s="113" t="s">
        <v>467</v>
      </c>
      <c r="C164" s="381">
        <v>114000400</v>
      </c>
      <c r="D164" s="408"/>
      <c r="E164" s="381" t="str">
        <f>VLOOKUP("T.06.138",Translation,LanguageNo+1,FALSE)</f>
        <v>Sonstige Rechnungsabgrenzungsposten</v>
      </c>
      <c r="F164" s="114"/>
      <c r="G164" s="303"/>
    </row>
    <row r="165" spans="2:22" ht="14.25" customHeight="1" x14ac:dyDescent="0.25">
      <c r="B165" s="70"/>
      <c r="C165" s="70"/>
      <c r="D165" s="70"/>
      <c r="E165" s="115"/>
      <c r="F165" s="72"/>
      <c r="G165" s="304"/>
    </row>
    <row r="166" spans="2:22" ht="14.25" customHeight="1" x14ac:dyDescent="0.25">
      <c r="B166" s="38" t="s">
        <v>470</v>
      </c>
      <c r="C166" s="381">
        <v>115000000</v>
      </c>
      <c r="D166" s="38"/>
      <c r="E166" s="95" t="str">
        <f>VLOOKUP("T.06.139",Translation,LanguageNo+1,FALSE)</f>
        <v>Total übrige Aktiven</v>
      </c>
      <c r="F166" s="388">
        <f>F92+F103+F111+F113+F118+F135+F139+F141+F143+F152+F154+F158+F160</f>
        <v>0</v>
      </c>
      <c r="G166" s="402">
        <f>IF($F$168=0,0,F166/$F$168)</f>
        <v>0</v>
      </c>
      <c r="I166" s="310" t="str">
        <f>VLOOKUP("T.06.223",Translation,LanguageNo+1,FALSE) &amp;" " &amp;Unit &amp;'Participation Inputs'!D7</f>
        <v>Aufriss nach Währungen in Mio. CHF</v>
      </c>
      <c r="J166" s="310"/>
      <c r="K166" s="310"/>
      <c r="L166" s="78"/>
      <c r="M166" s="78"/>
      <c r="N166" s="78"/>
      <c r="O166" s="78"/>
    </row>
    <row r="167" spans="2:22" ht="14.25" customHeight="1" x14ac:dyDescent="0.2">
      <c r="B167" s="70"/>
      <c r="C167" s="70"/>
      <c r="D167" s="70"/>
      <c r="E167" s="122"/>
      <c r="F167" s="72"/>
      <c r="G167" s="304"/>
      <c r="I167" s="80"/>
      <c r="J167" s="116" t="s">
        <v>11</v>
      </c>
      <c r="K167" s="116" t="s">
        <v>12</v>
      </c>
      <c r="L167" s="116" t="s">
        <v>14</v>
      </c>
      <c r="M167" s="116" t="s">
        <v>13</v>
      </c>
      <c r="N167" s="116" t="s">
        <v>19</v>
      </c>
      <c r="O167" s="116" t="s">
        <v>775</v>
      </c>
      <c r="S167" s="117"/>
      <c r="T167" s="117"/>
      <c r="V167" s="117"/>
    </row>
    <row r="168" spans="2:22" ht="14.25" customHeight="1" x14ac:dyDescent="0.25">
      <c r="B168" s="38" t="s">
        <v>473</v>
      </c>
      <c r="C168" s="381">
        <v>100000000</v>
      </c>
      <c r="D168" s="389" t="s">
        <v>980</v>
      </c>
      <c r="E168" s="382" t="str">
        <f>VLOOKUP("T.06.140",Translation,LanguageNo+1,FALSE)</f>
        <v>1.15 Total Aktiven</v>
      </c>
      <c r="F168" s="388">
        <f>F88+F166</f>
        <v>0</v>
      </c>
      <c r="G168" s="402">
        <f>IF($F$168=0,0,F168/$F$168)</f>
        <v>0</v>
      </c>
      <c r="I168" s="412" t="str">
        <f>IF(ABS(F168-SUM(J168:O168))&lt;0.01,"OK","Korrektur")</f>
        <v>OK</v>
      </c>
      <c r="J168" s="42"/>
      <c r="K168" s="118"/>
      <c r="L168" s="118"/>
      <c r="M168" s="118"/>
      <c r="N168" s="118"/>
      <c r="O168" s="118"/>
    </row>
    <row r="169" spans="2:22" ht="14.25" customHeight="1" x14ac:dyDescent="0.25">
      <c r="B169" s="76"/>
      <c r="C169" s="76"/>
      <c r="D169" s="76"/>
      <c r="E169" s="122"/>
      <c r="F169" s="72"/>
      <c r="G169" s="304"/>
    </row>
    <row r="170" spans="2:22" ht="14.25" customHeight="1" x14ac:dyDescent="0.25">
      <c r="B170" s="38"/>
      <c r="C170" s="38"/>
      <c r="D170" s="38"/>
      <c r="E170" s="392" t="str">
        <f>VLOOKUP("T.06.141",Translation,LanguageNo+1,FALSE)</f>
        <v>Verbindlichkeiten</v>
      </c>
      <c r="F170" s="98"/>
      <c r="G170" s="303"/>
    </row>
    <row r="171" spans="2:22" ht="14.25" customHeight="1" x14ac:dyDescent="0.25">
      <c r="B171" s="70"/>
      <c r="C171" s="70"/>
      <c r="D171" s="70"/>
      <c r="E171" s="119"/>
      <c r="F171" s="72"/>
      <c r="G171" s="304"/>
    </row>
    <row r="172" spans="2:22" s="553" customFormat="1" ht="14.25" customHeight="1" x14ac:dyDescent="0.25">
      <c r="B172" s="544" t="s">
        <v>474</v>
      </c>
      <c r="C172" s="546" t="s">
        <v>1437</v>
      </c>
      <c r="D172" s="562"/>
      <c r="E172" s="563" t="str">
        <f>VLOOKUP("T.06.142",Translation,LanguageNo+1,FALSE)</f>
        <v>2.1 Bestmöglicher Schätzwert der Versicherungsverpflichtungen</v>
      </c>
      <c r="F172" s="605">
        <f>F173+F182+F184+F192+F197+F207</f>
        <v>0</v>
      </c>
      <c r="G172" s="606">
        <f>IF($F$263=0,0,F172/$F$263)</f>
        <v>0</v>
      </c>
    </row>
    <row r="173" spans="2:22" s="553" customFormat="1" ht="14.25" customHeight="1" x14ac:dyDescent="0.25">
      <c r="B173" s="544" t="s">
        <v>475</v>
      </c>
      <c r="C173" s="546">
        <v>201101000</v>
      </c>
      <c r="D173" s="547" t="s">
        <v>983</v>
      </c>
      <c r="E173" s="563" t="str">
        <f>VLOOKUP("T.06.143",Translation,LanguageNo+1,FALSE)</f>
        <v>Direktversicherung: Lebensversicherungsgeschäft (ohne ALV)</v>
      </c>
      <c r="F173" s="607">
        <f>F174+SUM(F177:F178)+SUM(F180:F181)</f>
        <v>0</v>
      </c>
      <c r="G173" s="599"/>
    </row>
    <row r="174" spans="2:22" s="553" customFormat="1" ht="14.25" customHeight="1" x14ac:dyDescent="0.25">
      <c r="B174" s="544" t="s">
        <v>476</v>
      </c>
      <c r="C174" s="546" t="s">
        <v>1438</v>
      </c>
      <c r="D174" s="562"/>
      <c r="E174" s="546" t="str">
        <f>VLOOKUP("T.06.144",Translation,LanguageNo+1,FALSE)</f>
        <v>Best Estimate der Versicherungsverpflichtungen (Leben): Brutto</v>
      </c>
      <c r="F174" s="607">
        <f>SUM(F175:F176)</f>
        <v>0</v>
      </c>
      <c r="G174" s="599"/>
    </row>
    <row r="175" spans="2:22" s="553" customFormat="1" ht="14.25" customHeight="1" x14ac:dyDescent="0.25">
      <c r="B175" s="544" t="s">
        <v>477</v>
      </c>
      <c r="C175" s="546"/>
      <c r="D175" s="546"/>
      <c r="E175" s="566" t="str">
        <f>VLOOKUP("T.06.145",Translation,LanguageNo+1,FALSE)</f>
        <v>Einzelgeschäft</v>
      </c>
      <c r="F175" s="608"/>
      <c r="G175" s="599"/>
    </row>
    <row r="176" spans="2:22" s="553" customFormat="1" ht="14.25" customHeight="1" x14ac:dyDescent="0.25">
      <c r="B176" s="544" t="s">
        <v>478</v>
      </c>
      <c r="C176" s="546"/>
      <c r="D176" s="546"/>
      <c r="E176" s="566" t="str">
        <f>VLOOKUP("T.06.146",Translation,LanguageNo+1,FALSE)</f>
        <v>Kollektivgeschäft</v>
      </c>
      <c r="F176" s="608"/>
      <c r="G176" s="599"/>
    </row>
    <row r="177" spans="2:20" s="553" customFormat="1" ht="14.25" customHeight="1" x14ac:dyDescent="0.25">
      <c r="B177" s="544" t="s">
        <v>479</v>
      </c>
      <c r="C177" s="546">
        <v>201140100</v>
      </c>
      <c r="D177" s="562"/>
      <c r="E177" s="546" t="str">
        <f>VLOOKUP("T.06.147",Translation,LanguageNo+1,FALSE)</f>
        <v>Schwankungsrückstellungen und weitere statutarische Rückstellungen (Leben): Brutto</v>
      </c>
      <c r="F177" s="609"/>
      <c r="G177" s="599"/>
    </row>
    <row r="178" spans="2:20" s="553" customFormat="1" ht="14.25" customHeight="1" x14ac:dyDescent="0.25">
      <c r="B178" s="544" t="s">
        <v>480</v>
      </c>
      <c r="C178" s="546" t="s">
        <v>1439</v>
      </c>
      <c r="D178" s="546"/>
      <c r="E178" s="546" t="str">
        <f>VLOOKUP("T.06.148",Translation,LanguageNo+1,FALSE)</f>
        <v>Best Estimate der sonstigen Versicherungsverpflichtungen (Leben): Brutto</v>
      </c>
      <c r="F178" s="548"/>
      <c r="G178" s="599"/>
    </row>
    <row r="179" spans="2:20" s="553" customFormat="1" ht="14.25" customHeight="1" x14ac:dyDescent="0.25">
      <c r="B179" s="544" t="s">
        <v>484</v>
      </c>
      <c r="C179" s="546">
        <v>201150100</v>
      </c>
      <c r="D179" s="562"/>
      <c r="E179" s="566" t="str">
        <f>VLOOKUP("T.06.149",Translation,LanguageNo+1,FALSE)</f>
        <v>davon Zillmerabschlag (Leben): Brutto</v>
      </c>
      <c r="F179" s="610"/>
      <c r="G179" s="599"/>
      <c r="S179" s="611"/>
      <c r="T179" s="612"/>
    </row>
    <row r="180" spans="2:20" s="553" customFormat="1" ht="14.25" customHeight="1" x14ac:dyDescent="0.25">
      <c r="B180" s="613" t="s">
        <v>487</v>
      </c>
      <c r="C180" s="546">
        <v>201160100</v>
      </c>
      <c r="D180" s="562"/>
      <c r="E180" s="546" t="str">
        <f>VLOOKUP("T.06.150",Translation,LanguageNo+1,FALSE)</f>
        <v>Rückstellungen für vertragliche Überschussbeteiligungen (Leben): Brutto</v>
      </c>
      <c r="F180" s="548"/>
      <c r="G180" s="599"/>
    </row>
    <row r="181" spans="2:20" s="584" customFormat="1" ht="14.25" customHeight="1" x14ac:dyDescent="0.25">
      <c r="B181" s="602" t="s">
        <v>491</v>
      </c>
      <c r="C181" s="576">
        <v>201170100</v>
      </c>
      <c r="D181" s="577"/>
      <c r="E181" s="603" t="str">
        <f>VLOOKUP("T.06.151",Translation,LanguageNo+1,FALSE)</f>
        <v>Rückstellungen für Überschussfonds (Leben): Brutto</v>
      </c>
      <c r="F181" s="604"/>
      <c r="G181" s="598"/>
    </row>
    <row r="182" spans="2:20" s="553" customFormat="1" ht="14.25" customHeight="1" x14ac:dyDescent="0.25">
      <c r="B182" s="613" t="s">
        <v>492</v>
      </c>
      <c r="C182" s="546">
        <v>201102000</v>
      </c>
      <c r="D182" s="547" t="s">
        <v>981</v>
      </c>
      <c r="E182" s="557" t="str">
        <f>VLOOKUP("T.06.152",Translation,LanguageNo+1,FALSE)</f>
        <v>Aktive Rückversicherung: Lebensversicherungsgeschäft (ohne ALV)</v>
      </c>
      <c r="F182" s="548"/>
      <c r="G182" s="599"/>
    </row>
    <row r="183" spans="2:20" ht="14.25" customHeight="1" x14ac:dyDescent="0.25">
      <c r="B183" s="70"/>
      <c r="C183" s="70"/>
      <c r="D183" s="70"/>
      <c r="E183" s="70"/>
      <c r="F183" s="72"/>
      <c r="G183" s="304"/>
    </row>
    <row r="184" spans="2:20" s="495" customFormat="1" ht="14.25" customHeight="1" x14ac:dyDescent="0.25">
      <c r="B184" s="539" t="s">
        <v>493</v>
      </c>
      <c r="C184" s="489">
        <v>201201000</v>
      </c>
      <c r="D184" s="491" t="s">
        <v>982</v>
      </c>
      <c r="E184" s="503" t="str">
        <f>VLOOKUP("T.06.153",Translation,LanguageNo+1,FALSE)</f>
        <v>Direktversicherung: Schadenversicherungsgeschäft</v>
      </c>
      <c r="F184" s="614">
        <f>F185+SUM(F187:F191)</f>
        <v>0</v>
      </c>
      <c r="G184" s="601"/>
    </row>
    <row r="185" spans="2:20" s="495" customFormat="1" ht="14.25" customHeight="1" x14ac:dyDescent="0.25">
      <c r="B185" s="539" t="s">
        <v>495</v>
      </c>
      <c r="C185" s="489"/>
      <c r="D185" s="491"/>
      <c r="E185" s="615" t="str">
        <f>VLOOKUP("T.06.154",Translation,LanguageNo+1,FALSE)</f>
        <v>Best Estimate der Versicherungsverpflichtungen (Schaden): Brutto - verdientes Geschäft</v>
      </c>
      <c r="F185" s="505"/>
      <c r="G185" s="601"/>
    </row>
    <row r="186" spans="2:20" s="495" customFormat="1" ht="14.25" customHeight="1" x14ac:dyDescent="0.25">
      <c r="B186" s="489" t="s">
        <v>496</v>
      </c>
      <c r="C186" s="489"/>
      <c r="D186" s="489"/>
      <c r="E186" s="501" t="str">
        <f>VLOOKUP("T.06.155",Translation,LanguageNo+1,FALSE)</f>
        <v>davon Best Estimate der Verpflichtungen des UVG-Bestandes: Brutto</v>
      </c>
      <c r="F186" s="516"/>
      <c r="G186" s="601"/>
    </row>
    <row r="187" spans="2:20" s="495" customFormat="1" ht="14.25" customHeight="1" x14ac:dyDescent="0.25">
      <c r="B187" s="489" t="s">
        <v>497</v>
      </c>
      <c r="C187" s="489"/>
      <c r="D187" s="489"/>
      <c r="E187" s="528" t="str">
        <f>VLOOKUP("T.06.156",Translation,LanguageNo+1,FALSE)</f>
        <v>Best Estimate der Versicherungsverpflichtungen (Schaden): Brutto - unverdientes Geschäft</v>
      </c>
      <c r="F187" s="516"/>
      <c r="G187" s="601"/>
    </row>
    <row r="188" spans="2:20" s="495" customFormat="1" ht="14.25" customHeight="1" x14ac:dyDescent="0.25">
      <c r="B188" s="539" t="s">
        <v>1006</v>
      </c>
      <c r="C188" s="489"/>
      <c r="D188" s="491"/>
      <c r="E188" s="489" t="str">
        <f>VLOOKUP("T.06.157",Translation,LanguageNo+1,FALSE)</f>
        <v>Schwankungsrückstellungen und weitere statutarische Rückstellungen (Schaden): Brutto</v>
      </c>
      <c r="F188" s="616"/>
      <c r="G188" s="601"/>
    </row>
    <row r="189" spans="2:20" s="495" customFormat="1" ht="14.25" customHeight="1" x14ac:dyDescent="0.25">
      <c r="B189" s="489" t="s">
        <v>501</v>
      </c>
      <c r="C189" s="489"/>
      <c r="D189" s="530"/>
      <c r="E189" s="489" t="str">
        <f>VLOOKUP("T.06.158",Translation,LanguageNo+1,FALSE)</f>
        <v>Best Estimate der sonstigen Versicherungsverpflichtungen (Schaden): Brutto</v>
      </c>
      <c r="F189" s="505"/>
      <c r="G189" s="601"/>
    </row>
    <row r="190" spans="2:20" s="495" customFormat="1" ht="14.25" customHeight="1" x14ac:dyDescent="0.25">
      <c r="B190" s="489" t="s">
        <v>502</v>
      </c>
      <c r="C190" s="489"/>
      <c r="D190" s="491"/>
      <c r="E190" s="489" t="str">
        <f>VLOOKUP("T.06.159",Translation,LanguageNo+1,FALSE)</f>
        <v>Rückstellungen für vertragliche Überschussbeteiligungen (Schaden): Brutto</v>
      </c>
      <c r="F190" s="505"/>
      <c r="G190" s="601"/>
    </row>
    <row r="191" spans="2:20" s="495" customFormat="1" ht="14.25" customHeight="1" x14ac:dyDescent="0.25">
      <c r="B191" s="489" t="s">
        <v>503</v>
      </c>
      <c r="C191" s="489"/>
      <c r="D191" s="491"/>
      <c r="E191" s="489" t="str">
        <f>VLOOKUP("T.06.160",Translation,LanguageNo+1,FALSE)</f>
        <v>Rückstellungen für Überschussfonds (Schaden): Brutto</v>
      </c>
      <c r="F191" s="520"/>
      <c r="G191" s="601"/>
    </row>
    <row r="192" spans="2:20" s="495" customFormat="1" ht="14.25" customHeight="1" x14ac:dyDescent="0.25">
      <c r="B192" s="489" t="s">
        <v>504</v>
      </c>
      <c r="C192" s="489">
        <v>201203000</v>
      </c>
      <c r="D192" s="491" t="s">
        <v>984</v>
      </c>
      <c r="E192" s="503" t="str">
        <f>VLOOKUP("T.06.161",Translation,LanguageNo+1,FALSE)</f>
        <v>Aktive Rückversicherung: Schadenversicherungsgeschäft</v>
      </c>
      <c r="F192" s="614">
        <f>SUM(F193:F195)</f>
        <v>0</v>
      </c>
      <c r="G192" s="601"/>
    </row>
    <row r="193" spans="2:7" s="495" customFormat="1" ht="14.25" customHeight="1" x14ac:dyDescent="0.25">
      <c r="B193" s="489" t="s">
        <v>505</v>
      </c>
      <c r="C193" s="489"/>
      <c r="D193" s="491"/>
      <c r="E193" s="528" t="str">
        <f>VLOOKUP("T.06.162",Translation,LanguageNo+1,FALSE)</f>
        <v>Aktive Rückversicherung: Best Estimate der Versicherungsverpflichtungen (Schaden) - verdientes Geschäft</v>
      </c>
      <c r="F193" s="516"/>
      <c r="G193" s="601"/>
    </row>
    <row r="194" spans="2:7" s="495" customFormat="1" ht="14.25" customHeight="1" x14ac:dyDescent="0.25">
      <c r="B194" s="489" t="s">
        <v>506</v>
      </c>
      <c r="C194" s="489"/>
      <c r="D194" s="491"/>
      <c r="E194" s="528" t="str">
        <f>VLOOKUP("T.06.163",Translation,LanguageNo+1,FALSE)</f>
        <v>Aktive Rückversicherung: Best Estimate der Versicherungsverpflichtungen (Schaden) - unverdientes Geschäft</v>
      </c>
      <c r="F194" s="516"/>
      <c r="G194" s="601"/>
    </row>
    <row r="195" spans="2:7" s="495" customFormat="1" ht="14.25" customHeight="1" x14ac:dyDescent="0.25">
      <c r="B195" s="489" t="s">
        <v>509</v>
      </c>
      <c r="C195" s="489"/>
      <c r="D195" s="491"/>
      <c r="E195" s="528" t="str">
        <f>VLOOKUP("T.06.164",Translation,LanguageNo+1,FALSE)</f>
        <v>Aktive Rückversicherung: Best Estimate der sonstigen Versicherungsverpflichtungen (Schaden)</v>
      </c>
      <c r="F195" s="516"/>
      <c r="G195" s="601"/>
    </row>
    <row r="196" spans="2:7" s="495" customFormat="1" ht="14.25" customHeight="1" x14ac:dyDescent="0.25">
      <c r="B196" s="489"/>
      <c r="C196" s="489"/>
      <c r="D196" s="489"/>
      <c r="E196" s="539"/>
      <c r="F196" s="502"/>
      <c r="G196" s="601"/>
    </row>
    <row r="197" spans="2:7" s="495" customFormat="1" ht="14.25" customHeight="1" x14ac:dyDescent="0.25">
      <c r="B197" s="489" t="s">
        <v>513</v>
      </c>
      <c r="C197" s="489">
        <v>201202000</v>
      </c>
      <c r="D197" s="491" t="s">
        <v>1011</v>
      </c>
      <c r="E197" s="537" t="str">
        <f>VLOOKUP("T.06.165",Translation,LanguageNo+1,FALSE)</f>
        <v>Direktversicherung: Krankenversicherungsgeschäft</v>
      </c>
      <c r="F197" s="614">
        <f>F198+SUM(F201:F206)</f>
        <v>0</v>
      </c>
      <c r="G197" s="601"/>
    </row>
    <row r="198" spans="2:7" s="495" customFormat="1" ht="14.25" customHeight="1" x14ac:dyDescent="0.25">
      <c r="B198" s="489" t="s">
        <v>514</v>
      </c>
      <c r="C198" s="489"/>
      <c r="D198" s="489"/>
      <c r="E198" s="539" t="str">
        <f>VLOOKUP("T.06.166",Translation,LanguageNo+1,FALSE)</f>
        <v>Best Estimate der Versicherungsverpflichtungen (Kranken): Brutto - verdientes Geschäft</v>
      </c>
      <c r="F198" s="617">
        <f>SUM(F199:F200)</f>
        <v>0</v>
      </c>
      <c r="G198" s="601"/>
    </row>
    <row r="199" spans="2:7" s="495" customFormat="1" ht="14.25" customHeight="1" x14ac:dyDescent="0.25">
      <c r="B199" s="489" t="s">
        <v>515</v>
      </c>
      <c r="C199" s="489"/>
      <c r="D199" s="489"/>
      <c r="E199" s="540" t="str">
        <f>VLOOKUP("T.06.167",Translation,LanguageNo+1,FALSE)</f>
        <v>Best Estimate der Versicherungsverpflichtungen Einzelkranken (ADISD02100 - ADISD02400): Brutto</v>
      </c>
      <c r="F199" s="516"/>
      <c r="G199" s="601"/>
    </row>
    <row r="200" spans="2:7" s="495" customFormat="1" ht="14.25" customHeight="1" x14ac:dyDescent="0.25">
      <c r="B200" s="489" t="s">
        <v>985</v>
      </c>
      <c r="C200" s="489"/>
      <c r="D200" s="489"/>
      <c r="E200" s="540" t="str">
        <f>VLOOKUP("T.06.168",Translation,LanguageNo+1,FALSE)</f>
        <v>Best Estimate der Versicherungsverpflichtungen Kollektivtaggeld (ADISD02500): Brutto</v>
      </c>
      <c r="F200" s="516"/>
      <c r="G200" s="601"/>
    </row>
    <row r="201" spans="2:7" s="495" customFormat="1" ht="14.25" customHeight="1" x14ac:dyDescent="0.25">
      <c r="B201" s="489" t="s">
        <v>519</v>
      </c>
      <c r="C201" s="489"/>
      <c r="D201" s="491"/>
      <c r="E201" s="528" t="str">
        <f>VLOOKUP("T.06.169",Translation,LanguageNo+1,FALSE)</f>
        <v>Best Estimate der Langzeitverpflichtungen (Kranken) (ADISD02100 - ADISD02400): Brutto</v>
      </c>
      <c r="F201" s="505"/>
      <c r="G201" s="601"/>
    </row>
    <row r="202" spans="2:7" s="495" customFormat="1" ht="14.25" customHeight="1" x14ac:dyDescent="0.25">
      <c r="B202" s="489" t="s">
        <v>522</v>
      </c>
      <c r="C202" s="489"/>
      <c r="D202" s="491"/>
      <c r="E202" s="528" t="str">
        <f>VLOOKUP("T.06.170",Translation,LanguageNo+1,FALSE)</f>
        <v>Best Estimate des unverdienten Geschäfts Kollektivtaggeld (ADISD02500): Brutto</v>
      </c>
      <c r="F202" s="505"/>
      <c r="G202" s="601"/>
    </row>
    <row r="203" spans="2:7" s="495" customFormat="1" ht="14.25" customHeight="1" x14ac:dyDescent="0.25">
      <c r="B203" s="489" t="s">
        <v>1440</v>
      </c>
      <c r="C203" s="489">
        <v>201230200</v>
      </c>
      <c r="D203" s="504"/>
      <c r="E203" s="494" t="str">
        <f>VLOOKUP("T.06.171",Translation,LanguageNo+1,FALSE)</f>
        <v>Schwankungsrückstellungen und weitere statutarische Rückstellungen (Kranken): Brutto</v>
      </c>
      <c r="F203" s="616"/>
      <c r="G203" s="601"/>
    </row>
    <row r="204" spans="2:7" s="495" customFormat="1" ht="14.25" customHeight="1" x14ac:dyDescent="0.25">
      <c r="B204" s="489" t="s">
        <v>1441</v>
      </c>
      <c r="C204" s="489"/>
      <c r="D204" s="489"/>
      <c r="E204" s="539" t="str">
        <f>VLOOKUP("T.06.172",Translation,LanguageNo+1,FALSE)</f>
        <v>Best Estimate der sonstigen Versicherungsverpflichtungen (Kranken): Brutto</v>
      </c>
      <c r="F204" s="505"/>
      <c r="G204" s="601"/>
    </row>
    <row r="205" spans="2:7" s="495" customFormat="1" ht="14.25" customHeight="1" x14ac:dyDescent="0.25">
      <c r="B205" s="489" t="s">
        <v>526</v>
      </c>
      <c r="C205" s="489"/>
      <c r="D205" s="489"/>
      <c r="E205" s="489" t="str">
        <f>VLOOKUP("T.06.173",Translation,LanguageNo+1,FALSE)</f>
        <v>Rückstellungen für vertragliche Überschussbeteiligungen (Kranken): Brutto</v>
      </c>
      <c r="F205" s="505"/>
      <c r="G205" s="601"/>
    </row>
    <row r="206" spans="2:7" s="495" customFormat="1" ht="14.25" customHeight="1" x14ac:dyDescent="0.25">
      <c r="B206" s="489" t="s">
        <v>530</v>
      </c>
      <c r="C206" s="489"/>
      <c r="D206" s="489"/>
      <c r="E206" s="494" t="str">
        <f>VLOOKUP("T.06.174",Translation,LanguageNo+1,FALSE)</f>
        <v>Rückstellungen für Überschussfonds (Kranken): Brutto</v>
      </c>
      <c r="F206" s="520"/>
      <c r="G206" s="601"/>
    </row>
    <row r="207" spans="2:7" s="495" customFormat="1" ht="14.25" customHeight="1" x14ac:dyDescent="0.25">
      <c r="B207" s="489" t="s">
        <v>534</v>
      </c>
      <c r="C207" s="489">
        <v>201204000</v>
      </c>
      <c r="D207" s="491" t="s">
        <v>987</v>
      </c>
      <c r="E207" s="492" t="str">
        <f>VLOOKUP("T.06.175",Translation,LanguageNo+1,FALSE)</f>
        <v>Aktive Rückversicherung: Krankenversicherungsgeschäft</v>
      </c>
      <c r="F207" s="505"/>
      <c r="G207" s="601"/>
    </row>
    <row r="208" spans="2:7" s="495" customFormat="1" ht="14.25" customHeight="1" x14ac:dyDescent="0.25">
      <c r="B208" s="489"/>
      <c r="C208" s="489"/>
      <c r="D208" s="489"/>
      <c r="E208" s="494"/>
      <c r="F208" s="502"/>
      <c r="G208" s="601"/>
    </row>
    <row r="209" spans="2:7" s="495" customFormat="1" ht="14.25" customHeight="1" x14ac:dyDescent="0.25">
      <c r="B209" s="539" t="s">
        <v>535</v>
      </c>
      <c r="C209" s="489">
        <v>202000000</v>
      </c>
      <c r="D209" s="504"/>
      <c r="E209" s="541" t="str">
        <f>VLOOKUP("T.06.176",Translation,LanguageNo+1,FALSE)</f>
        <v>2.2 Bestmöglicher Schätzwert der Versicherungsverpflichtungen für anteilgebundene Lebensversicherung</v>
      </c>
      <c r="F209" s="614">
        <f>F210+F212+F214+F215</f>
        <v>0</v>
      </c>
      <c r="G209" s="618">
        <f>IF($F$263=0,0,F209/$F$263)</f>
        <v>0</v>
      </c>
    </row>
    <row r="210" spans="2:7" s="495" customFormat="1" ht="14.25" customHeight="1" x14ac:dyDescent="0.25">
      <c r="B210" s="489" t="s">
        <v>537</v>
      </c>
      <c r="C210" s="489"/>
      <c r="D210" s="489"/>
      <c r="E210" s="489" t="str">
        <f>VLOOKUP("T.06.177",Translation,LanguageNo+1,FALSE)</f>
        <v>Fondsanteilgebundene Lebensversicherung (A 2.1 - A 2.3 &amp; A 6.1)</v>
      </c>
      <c r="F210" s="505"/>
      <c r="G210" s="601"/>
    </row>
    <row r="211" spans="2:7" s="495" customFormat="1" ht="14.25" customHeight="1" x14ac:dyDescent="0.25">
      <c r="B211" s="489" t="s">
        <v>541</v>
      </c>
      <c r="C211" s="489"/>
      <c r="D211" s="489"/>
      <c r="E211" s="501" t="str">
        <f>VLOOKUP("T.06.178",Translation,LanguageNo+1,FALSE)</f>
        <v>davon Optionen und Garantien</v>
      </c>
      <c r="F211" s="516"/>
      <c r="G211" s="601"/>
    </row>
    <row r="212" spans="2:7" s="495" customFormat="1" ht="14.25" customHeight="1" x14ac:dyDescent="0.25">
      <c r="B212" s="489" t="s">
        <v>545</v>
      </c>
      <c r="C212" s="489"/>
      <c r="D212" s="489"/>
      <c r="E212" s="489" t="str">
        <f>VLOOKUP("T.06.179",Translation,LanguageNo+1,FALSE)</f>
        <v>An interne Anlagebestände oder andere Bezugswerte gebundene Lebensversicherung: Brutto (A 2.4 - A 2.6 &amp; A 6.2)</v>
      </c>
      <c r="F212" s="505"/>
      <c r="G212" s="601"/>
    </row>
    <row r="213" spans="2:7" s="495" customFormat="1" ht="14.25" customHeight="1" x14ac:dyDescent="0.25">
      <c r="B213" s="489" t="s">
        <v>549</v>
      </c>
      <c r="C213" s="509"/>
      <c r="D213" s="489"/>
      <c r="E213" s="501" t="str">
        <f>VLOOKUP("T.06.180",Translation,LanguageNo+1,FALSE)</f>
        <v>davon Optionen und Garantien</v>
      </c>
      <c r="F213" s="516"/>
      <c r="G213" s="601"/>
    </row>
    <row r="214" spans="2:7" s="495" customFormat="1" ht="14.25" customHeight="1" x14ac:dyDescent="0.25">
      <c r="B214" s="489" t="s">
        <v>553</v>
      </c>
      <c r="C214" s="509">
        <v>202400100</v>
      </c>
      <c r="D214" s="504"/>
      <c r="E214" s="489" t="str">
        <f>VLOOKUP("T.06.181",Translation,LanguageNo+1,FALSE)</f>
        <v>Schwankungsrückstellungen für anteilgebundene Lebensversicherungen direktes Geschäft: Brutto</v>
      </c>
      <c r="F214" s="619"/>
      <c r="G214" s="601"/>
    </row>
    <row r="215" spans="2:7" s="495" customFormat="1" ht="14.25" customHeight="1" x14ac:dyDescent="0.25">
      <c r="B215" s="489" t="s">
        <v>557</v>
      </c>
      <c r="C215" s="489">
        <v>202020000</v>
      </c>
      <c r="D215" s="491" t="s">
        <v>986</v>
      </c>
      <c r="E215" s="489" t="str">
        <f>VLOOKUP("T.06.182",Translation,LanguageNo+1,FALSE)</f>
        <v>Aktive Rückversicherung: Anteilgebundenes Lebensversicherungsgeschäft</v>
      </c>
      <c r="F215" s="520"/>
      <c r="G215" s="601"/>
    </row>
    <row r="216" spans="2:7" ht="14.25" customHeight="1" x14ac:dyDescent="0.25">
      <c r="B216" s="70"/>
      <c r="C216" s="70"/>
      <c r="D216" s="70"/>
      <c r="E216" s="122"/>
      <c r="F216" s="72"/>
      <c r="G216" s="304"/>
    </row>
    <row r="217" spans="2:7" ht="14.25" customHeight="1" x14ac:dyDescent="0.25">
      <c r="B217" s="383" t="s">
        <v>560</v>
      </c>
      <c r="C217" s="38"/>
      <c r="D217" s="63" t="s">
        <v>1460</v>
      </c>
      <c r="E217" s="108" t="str">
        <f>VLOOKUP("T.06.183",Translation,LanguageNo+1,FALSE)</f>
        <v>Mindestbetrag</v>
      </c>
      <c r="F217" s="287"/>
      <c r="G217" s="402">
        <f>IF($F$263=0,0,F217/$F$263)</f>
        <v>0</v>
      </c>
    </row>
    <row r="218" spans="2:7" ht="14.25" customHeight="1" x14ac:dyDescent="0.25">
      <c r="B218" s="70"/>
      <c r="C218" s="70"/>
      <c r="D218" s="70"/>
      <c r="E218" s="122"/>
      <c r="F218" s="72"/>
      <c r="G218" s="304"/>
    </row>
    <row r="219" spans="2:7" ht="14.25" customHeight="1" x14ac:dyDescent="0.25">
      <c r="B219" s="383" t="s">
        <v>561</v>
      </c>
      <c r="C219" s="381">
        <v>203000000</v>
      </c>
      <c r="D219" s="389" t="s">
        <v>988</v>
      </c>
      <c r="E219" s="108" t="str">
        <f>VLOOKUP("T.06.184",Translation,LanguageNo+1,FALSE)</f>
        <v>2.3 Nichtversicherungstechnische Rückstellungen</v>
      </c>
      <c r="F219" s="388">
        <f>SUM(F220:F222)</f>
        <v>0</v>
      </c>
      <c r="G219" s="402">
        <f>IF($F$263=0,0,F219/$F$263)</f>
        <v>0</v>
      </c>
    </row>
    <row r="220" spans="2:7" ht="14.25" customHeight="1" x14ac:dyDescent="0.25">
      <c r="B220" s="381" t="s">
        <v>562</v>
      </c>
      <c r="C220" s="381">
        <v>203000200</v>
      </c>
      <c r="D220" s="408"/>
      <c r="E220" s="38" t="str">
        <f>VLOOKUP("T.06.185",Translation,LanguageNo+1,FALSE)</f>
        <v>Rückstellungen für Personalvorsorge</v>
      </c>
      <c r="F220" s="64"/>
      <c r="G220" s="303"/>
    </row>
    <row r="221" spans="2:7" ht="14.25" customHeight="1" x14ac:dyDescent="0.25">
      <c r="B221" s="381" t="s">
        <v>563</v>
      </c>
      <c r="C221" s="381">
        <v>203100000</v>
      </c>
      <c r="D221" s="408"/>
      <c r="E221" s="38" t="str">
        <f>VLOOKUP("T.06.186",Translation,LanguageNo+1,FALSE)</f>
        <v xml:space="preserve">Finanzielle Rückstellungen </v>
      </c>
      <c r="F221" s="287"/>
      <c r="G221" s="303"/>
    </row>
    <row r="222" spans="2:7" ht="14.25" customHeight="1" x14ac:dyDescent="0.25">
      <c r="B222" s="381" t="s">
        <v>564</v>
      </c>
      <c r="C222" s="381" t="s">
        <v>1442</v>
      </c>
      <c r="D222" s="408"/>
      <c r="E222" s="38" t="str">
        <f>VLOOKUP("T.06.187",Translation,LanguageNo+1,FALSE)</f>
        <v xml:space="preserve">Sonstige Rückstellungen </v>
      </c>
      <c r="F222" s="101"/>
      <c r="G222" s="303"/>
    </row>
    <row r="223" spans="2:7" ht="14.25" customHeight="1" x14ac:dyDescent="0.25">
      <c r="B223" s="70"/>
      <c r="C223" s="70"/>
      <c r="D223" s="70"/>
      <c r="E223" s="70"/>
      <c r="F223" s="72"/>
      <c r="G223" s="304"/>
    </row>
    <row r="224" spans="2:7" ht="14.25" customHeight="1" x14ac:dyDescent="0.25">
      <c r="B224" s="38" t="s">
        <v>567</v>
      </c>
      <c r="C224" s="381">
        <v>204000000</v>
      </c>
      <c r="D224" s="389" t="s">
        <v>989</v>
      </c>
      <c r="E224" s="73" t="str">
        <f>VLOOKUP("T.06.188",Translation,LanguageNo+1,FALSE)</f>
        <v>2.4 Verzinsliche Verbindlichkeiten</v>
      </c>
      <c r="F224" s="239"/>
      <c r="G224" s="402">
        <f>IF($F$263=0,0,F224/$F$263)</f>
        <v>0</v>
      </c>
    </row>
    <row r="225" spans="2:7" ht="14.25" customHeight="1" x14ac:dyDescent="0.25">
      <c r="B225" s="70"/>
      <c r="C225" s="70"/>
      <c r="D225" s="70"/>
      <c r="E225" s="76"/>
      <c r="F225" s="72"/>
      <c r="G225" s="304"/>
    </row>
    <row r="226" spans="2:7" ht="14.25" customHeight="1" x14ac:dyDescent="0.25">
      <c r="B226" s="381" t="s">
        <v>568</v>
      </c>
      <c r="C226" s="381">
        <v>205000000</v>
      </c>
      <c r="D226" s="389" t="s">
        <v>990</v>
      </c>
      <c r="E226" s="73" t="str">
        <f>VLOOKUP("T.06.189",Translation,LanguageNo+1,FALSE)</f>
        <v>2.5. Verbindlichkeiten aus derivativen Finanzinstrumenten</v>
      </c>
      <c r="F226" s="388">
        <f>SUM(F227:F232)</f>
        <v>0</v>
      </c>
      <c r="G226" s="402">
        <f>IF($F$263=0,0,F226/$F$263)</f>
        <v>0</v>
      </c>
    </row>
    <row r="227" spans="2:7" ht="14.25" customHeight="1" x14ac:dyDescent="0.25">
      <c r="B227" s="381" t="s">
        <v>571</v>
      </c>
      <c r="C227" s="381">
        <v>205000100</v>
      </c>
      <c r="D227" s="389" t="s">
        <v>991</v>
      </c>
      <c r="E227" s="38" t="str">
        <f>VLOOKUP("T.06.190",Translation,LanguageNo+1,FALSE)</f>
        <v>Zinsrisikobezogene Instrumente</v>
      </c>
      <c r="F227" s="64"/>
      <c r="G227" s="303"/>
    </row>
    <row r="228" spans="2:7" ht="14.25" customHeight="1" x14ac:dyDescent="0.25">
      <c r="B228" s="381" t="s">
        <v>575</v>
      </c>
      <c r="C228" s="381">
        <v>205000200</v>
      </c>
      <c r="D228" s="389" t="s">
        <v>992</v>
      </c>
      <c r="E228" s="38" t="str">
        <f>VLOOKUP("T.06.191",Translation,LanguageNo+1,FALSE)</f>
        <v>Währungsrisikobezogene Instrumente</v>
      </c>
      <c r="F228" s="64"/>
      <c r="G228" s="303"/>
    </row>
    <row r="229" spans="2:7" ht="14.25" customHeight="1" x14ac:dyDescent="0.25">
      <c r="B229" s="381" t="s">
        <v>576</v>
      </c>
      <c r="C229" s="381">
        <v>205000300</v>
      </c>
      <c r="D229" s="389" t="s">
        <v>993</v>
      </c>
      <c r="E229" s="38" t="str">
        <f>VLOOKUP("T.06.192",Translation,LanguageNo+1,FALSE)</f>
        <v>(Aktien-)Marktrisikobezogene Instrumente</v>
      </c>
      <c r="F229" s="64"/>
      <c r="G229" s="303"/>
    </row>
    <row r="230" spans="2:7" ht="14.25" customHeight="1" x14ac:dyDescent="0.25">
      <c r="B230" s="381" t="s">
        <v>580</v>
      </c>
      <c r="C230" s="381">
        <v>205000400</v>
      </c>
      <c r="D230" s="389" t="s">
        <v>994</v>
      </c>
      <c r="E230" s="38" t="str">
        <f>VLOOKUP("T.06.193",Translation,LanguageNo+1,FALSE)</f>
        <v>Kreditrisikobezogene Instrumente</v>
      </c>
      <c r="F230" s="64"/>
      <c r="G230" s="303"/>
    </row>
    <row r="231" spans="2:7" ht="14.25" customHeight="1" x14ac:dyDescent="0.25">
      <c r="B231" s="381" t="s">
        <v>584</v>
      </c>
      <c r="C231" s="381">
        <v>205000500</v>
      </c>
      <c r="D231" s="381" t="s">
        <v>995</v>
      </c>
      <c r="E231" s="38" t="str">
        <f>VLOOKUP("T.06.194",Translation,LanguageNo+1,FALSE)</f>
        <v>Versicherungsbezogene Instrumente (z.B. Cat Derivate)</v>
      </c>
      <c r="F231" s="64"/>
      <c r="G231" s="303"/>
    </row>
    <row r="232" spans="2:7" ht="14.25" customHeight="1" x14ac:dyDescent="0.25">
      <c r="B232" s="383" t="s">
        <v>588</v>
      </c>
      <c r="C232" s="381">
        <v>205000600</v>
      </c>
      <c r="D232" s="381" t="s">
        <v>996</v>
      </c>
      <c r="E232" s="262" t="str">
        <f>VLOOKUP("T.06.195",Translation,LanguageNo+1,FALSE)</f>
        <v>Übrige derivative Instrumente</v>
      </c>
      <c r="F232" s="101"/>
      <c r="G232" s="303"/>
    </row>
    <row r="233" spans="2:7" ht="14.25" customHeight="1" x14ac:dyDescent="0.25">
      <c r="B233" s="70"/>
      <c r="C233" s="70"/>
      <c r="D233" s="70"/>
      <c r="E233" s="76"/>
      <c r="F233" s="72"/>
      <c r="G233" s="304"/>
    </row>
    <row r="234" spans="2:7" ht="14.25" customHeight="1" x14ac:dyDescent="0.25">
      <c r="B234" s="379" t="s">
        <v>592</v>
      </c>
      <c r="C234" s="381">
        <v>206000000</v>
      </c>
      <c r="D234" s="389" t="s">
        <v>997</v>
      </c>
      <c r="E234" s="120" t="str">
        <f>VLOOKUP("T.06.196",Translation,LanguageNo+1,FALSE)</f>
        <v>2.6 Depotverbindlichkeiten aus abgegebener Rückversicherung</v>
      </c>
      <c r="F234" s="239"/>
      <c r="G234" s="402">
        <f>IF($F$263=0,0,F234/$F$263)</f>
        <v>0</v>
      </c>
    </row>
    <row r="235" spans="2:7" ht="14.25" customHeight="1" x14ac:dyDescent="0.25">
      <c r="B235" s="70"/>
      <c r="C235" s="70"/>
      <c r="D235" s="70"/>
      <c r="E235" s="122"/>
      <c r="F235" s="72"/>
      <c r="G235" s="304"/>
    </row>
    <row r="236" spans="2:7" ht="14.25" customHeight="1" x14ac:dyDescent="0.25">
      <c r="B236" s="38" t="s">
        <v>596</v>
      </c>
      <c r="C236" s="381">
        <v>207000000</v>
      </c>
      <c r="D236" s="389" t="s">
        <v>998</v>
      </c>
      <c r="E236" s="108" t="str">
        <f>VLOOKUP("T.06.197",Translation,LanguageNo+1,FALSE)</f>
        <v>2.7 Verbindlichkeiten aus dem Versicherungsgeschäft</v>
      </c>
      <c r="F236" s="407">
        <f>SUM(F237:F238)</f>
        <v>0</v>
      </c>
      <c r="G236" s="402">
        <f>IF($F$263=0,0,F236/$F$263)</f>
        <v>0</v>
      </c>
    </row>
    <row r="237" spans="2:7" ht="14.25" customHeight="1" x14ac:dyDescent="0.25">
      <c r="B237" s="373" t="s">
        <v>597</v>
      </c>
      <c r="C237" s="381">
        <v>207300200</v>
      </c>
      <c r="D237" s="389" t="s">
        <v>1012</v>
      </c>
      <c r="E237" s="180" t="str">
        <f>VLOOKUP("T.06.198",Translation,LanguageNo+1,FALSE)</f>
        <v>Sonstige Depotverbindlichkeiten</v>
      </c>
      <c r="F237" s="64"/>
      <c r="G237" s="303"/>
    </row>
    <row r="238" spans="2:7" ht="14.25" customHeight="1" x14ac:dyDescent="0.25">
      <c r="B238" s="381" t="s">
        <v>599</v>
      </c>
      <c r="C238" s="381" t="s">
        <v>1443</v>
      </c>
      <c r="D238" s="408"/>
      <c r="E238" s="180" t="str">
        <f>VLOOKUP("T.06.199",Translation,LanguageNo+1,FALSE)</f>
        <v>Sonstige Verbindlichkeiten aus dem Versicherungsgeschäft</v>
      </c>
      <c r="F238" s="101"/>
      <c r="G238" s="303"/>
    </row>
    <row r="239" spans="2:7" ht="14.25" customHeight="1" x14ac:dyDescent="0.25">
      <c r="B239" s="70"/>
      <c r="C239" s="70"/>
      <c r="D239" s="70"/>
      <c r="E239" s="121"/>
      <c r="F239" s="72"/>
      <c r="G239" s="304"/>
    </row>
    <row r="240" spans="2:7" ht="14.25" customHeight="1" x14ac:dyDescent="0.25">
      <c r="B240" s="113" t="s">
        <v>602</v>
      </c>
      <c r="C240" s="381">
        <v>208000000</v>
      </c>
      <c r="D240" s="389" t="s">
        <v>999</v>
      </c>
      <c r="E240" s="108" t="str">
        <f>VLOOKUP("T.06.200",Translation,LanguageNo+1,FALSE)</f>
        <v>2.8 Sonstige Passiven</v>
      </c>
      <c r="F240" s="388">
        <f>SUM(F241:F242)</f>
        <v>0</v>
      </c>
      <c r="G240" s="402">
        <f>IF($F$263=0,0,F240/$F$263)</f>
        <v>0</v>
      </c>
    </row>
    <row r="241" spans="2:7" ht="14.25" customHeight="1" x14ac:dyDescent="0.25">
      <c r="B241" s="381" t="s">
        <v>603</v>
      </c>
      <c r="C241" s="38"/>
      <c r="D241" s="38"/>
      <c r="E241" s="38" t="str">
        <f>VLOOKUP("T.06.201",Translation,LanguageNo+1,FALSE)</f>
        <v>Gegebene Garantien, Bürgschaften</v>
      </c>
      <c r="F241" s="64"/>
      <c r="G241" s="303"/>
    </row>
    <row r="242" spans="2:7" ht="14.25" customHeight="1" x14ac:dyDescent="0.25">
      <c r="B242" s="381" t="s">
        <v>604</v>
      </c>
      <c r="C242" s="180"/>
      <c r="D242" s="107"/>
      <c r="E242" s="38" t="str">
        <f>VLOOKUP("T.06.202",Translation,LanguageNo+1,FALSE)</f>
        <v>Sonstige Verbindlichkeiten</v>
      </c>
      <c r="F242" s="101"/>
      <c r="G242" s="303"/>
    </row>
    <row r="243" spans="2:7" ht="14.25" customHeight="1" x14ac:dyDescent="0.25">
      <c r="B243" s="70"/>
      <c r="C243" s="70"/>
      <c r="D243" s="70"/>
      <c r="E243" s="122"/>
      <c r="F243" s="72"/>
      <c r="G243" s="304"/>
    </row>
    <row r="244" spans="2:7" ht="14.25" customHeight="1" x14ac:dyDescent="0.25">
      <c r="B244" s="381" t="s">
        <v>605</v>
      </c>
      <c r="C244" s="381">
        <v>209000000</v>
      </c>
      <c r="D244" s="389" t="s">
        <v>1000</v>
      </c>
      <c r="E244" s="108" t="str">
        <f>VLOOKUP("T.06.203",Translation,LanguageNo+1,FALSE)</f>
        <v>2.9. Passive Rechnungsabgrenzungen</v>
      </c>
      <c r="F244" s="388">
        <f>SUM(F245:F246)</f>
        <v>0</v>
      </c>
      <c r="G244" s="402">
        <f>IF($F$263=0,0,F244/$F$263)</f>
        <v>0</v>
      </c>
    </row>
    <row r="245" spans="2:7" ht="14.25" customHeight="1" x14ac:dyDescent="0.25">
      <c r="B245" s="381" t="s">
        <v>606</v>
      </c>
      <c r="C245" s="381">
        <v>209000400</v>
      </c>
      <c r="D245" s="408"/>
      <c r="E245" s="38" t="str">
        <f>VLOOKUP("T.06.204",Translation,LanguageNo+1,FALSE)</f>
        <v>Latente Steuerverpflichtungen</v>
      </c>
      <c r="F245" s="288"/>
      <c r="G245" s="302"/>
    </row>
    <row r="246" spans="2:7" ht="14.25" customHeight="1" x14ac:dyDescent="0.25">
      <c r="B246" s="379" t="s">
        <v>607</v>
      </c>
      <c r="C246" s="381" t="s">
        <v>1444</v>
      </c>
      <c r="D246" s="408"/>
      <c r="E246" s="38" t="str">
        <f>VLOOKUP("T.06.205",Translation,LanguageNo+1,FALSE)</f>
        <v>Sonstige Rechnungsabgrenzungsposten</v>
      </c>
      <c r="F246" s="101"/>
      <c r="G246" s="303"/>
    </row>
    <row r="247" spans="2:7" ht="14.25" customHeight="1" x14ac:dyDescent="0.25">
      <c r="B247" s="70"/>
      <c r="C247" s="70"/>
      <c r="D247" s="70"/>
      <c r="E247" s="122"/>
      <c r="F247" s="72"/>
      <c r="G247" s="304"/>
    </row>
    <row r="248" spans="2:7" ht="14.25" customHeight="1" x14ac:dyDescent="0.25">
      <c r="B248" s="113" t="s">
        <v>609</v>
      </c>
      <c r="C248" s="381">
        <v>210000000</v>
      </c>
      <c r="D248" s="389" t="s">
        <v>1013</v>
      </c>
      <c r="E248" s="385" t="str">
        <f>VLOOKUP("T.06.206",Translation,LanguageNo+1,FALSE)</f>
        <v>2.10 Nachrangige Verbindlichkeiten</v>
      </c>
      <c r="F248" s="413">
        <f>F249+F253+F258</f>
        <v>0</v>
      </c>
      <c r="G248" s="402">
        <f>IF($F$263=0,0,F248/$F$263)</f>
        <v>0</v>
      </c>
    </row>
    <row r="249" spans="2:7" ht="14.25" customHeight="1" x14ac:dyDescent="0.25">
      <c r="B249" s="379" t="s">
        <v>1052</v>
      </c>
      <c r="C249" s="383">
        <v>210000600</v>
      </c>
      <c r="D249" s="389"/>
      <c r="E249" s="379" t="str">
        <f>VLOOKUP("T.06.207",Translation,LanguageNo+1,FALSE)</f>
        <v>Unbefristete nachrangige Verbindlichkeiten (ohne Abschreibungs- und Wandlungscharakter)</v>
      </c>
      <c r="F249" s="414">
        <f>SUM(F250:F252)</f>
        <v>0</v>
      </c>
      <c r="G249" s="302"/>
    </row>
    <row r="250" spans="2:7" ht="14.25" customHeight="1" x14ac:dyDescent="0.25">
      <c r="B250" s="379" t="s">
        <v>1053</v>
      </c>
      <c r="C250" s="381"/>
      <c r="D250" s="389"/>
      <c r="E250" s="398" t="str">
        <f>VLOOKUP("T.06.208",Translation,LanguageNo+1,FALSE)</f>
        <v>Tier 2-RAK - im SST angerechnet</v>
      </c>
      <c r="F250" s="84"/>
      <c r="G250" s="302"/>
    </row>
    <row r="251" spans="2:7" ht="14.25" customHeight="1" x14ac:dyDescent="0.25">
      <c r="B251" s="379" t="s">
        <v>1074</v>
      </c>
      <c r="C251" s="381"/>
      <c r="D251" s="389"/>
      <c r="E251" s="398" t="str">
        <f>VLOOKUP("T.06.209",Translation,LanguageNo+1,FALSE)</f>
        <v>Tier 2-RAK - im SST nicht angerechnet</v>
      </c>
      <c r="F251" s="84"/>
      <c r="G251" s="302"/>
    </row>
    <row r="252" spans="2:7" ht="14.25" customHeight="1" x14ac:dyDescent="0.25">
      <c r="B252" s="383" t="s">
        <v>1445</v>
      </c>
      <c r="C252" s="381"/>
      <c r="D252" s="389"/>
      <c r="E252" s="398" t="str">
        <f>VLOOKUP("T.06.210",Translation,LanguageNo+1,FALSE)</f>
        <v>Andere unbefristete nachrangige Verbindlichkeiten (ohne Abschreibungs- und Wandlungscharakter)</v>
      </c>
      <c r="F252" s="64"/>
      <c r="G252" s="302"/>
    </row>
    <row r="253" spans="2:7" ht="14.25" customHeight="1" x14ac:dyDescent="0.25">
      <c r="B253" s="379" t="s">
        <v>1446</v>
      </c>
      <c r="C253" s="381">
        <v>210000700</v>
      </c>
      <c r="D253" s="389"/>
      <c r="E253" s="379" t="str">
        <f>VLOOKUP("T.06.211",Translation,LanguageNo+1,FALSE)</f>
        <v>Unbefristete nachrangige Verbindlichkeiten - Abschreibungs- und Wandlungsinstrumente</v>
      </c>
      <c r="F253" s="376">
        <f>SUM(F254:F257)</f>
        <v>0</v>
      </c>
      <c r="G253" s="302"/>
    </row>
    <row r="254" spans="2:7" ht="14.25" customHeight="1" x14ac:dyDescent="0.25">
      <c r="B254" s="379" t="s">
        <v>1447</v>
      </c>
      <c r="C254" s="381"/>
      <c r="D254" s="389"/>
      <c r="E254" s="398" t="str">
        <f>VLOOKUP("T.06.212",Translation,LanguageNo+1,FALSE)</f>
        <v>Tier 1-RAK - Abschreibungsinstrument - im SST angerechnet</v>
      </c>
      <c r="F254" s="84"/>
      <c r="G254" s="302"/>
    </row>
    <row r="255" spans="2:7" ht="14.25" customHeight="1" x14ac:dyDescent="0.25">
      <c r="B255" s="379" t="s">
        <v>1448</v>
      </c>
      <c r="C255" s="381"/>
      <c r="D255" s="389"/>
      <c r="E255" s="398" t="str">
        <f>VLOOKUP("T.06.213",Translation,LanguageNo+1,FALSE)</f>
        <v>Tier 1-RAK - Wandlungsinstrument - im SST angerechnet</v>
      </c>
      <c r="F255" s="84"/>
      <c r="G255" s="302"/>
    </row>
    <row r="256" spans="2:7" ht="14.25" customHeight="1" x14ac:dyDescent="0.25">
      <c r="B256" s="379" t="s">
        <v>1449</v>
      </c>
      <c r="C256" s="381"/>
      <c r="D256" s="389"/>
      <c r="E256" s="398" t="str">
        <f>VLOOKUP("T.06.214",Translation,LanguageNo+1,FALSE)</f>
        <v>Tier 1-RAK - Abschreibungs- und Wandlungsinstrument - im SST nicht angerechnet</v>
      </c>
      <c r="F256" s="84"/>
      <c r="G256" s="302"/>
    </row>
    <row r="257" spans="2:15" ht="14.25" customHeight="1" x14ac:dyDescent="0.25">
      <c r="B257" s="379" t="s">
        <v>1450</v>
      </c>
      <c r="C257" s="381">
        <v>210000800</v>
      </c>
      <c r="D257" s="389"/>
      <c r="E257" s="398" t="str">
        <f>VLOOKUP("T.06.215",Translation,LanguageNo+1,FALSE)</f>
        <v>Andere Abschreibungs- und Wandlungsinstrumente</v>
      </c>
      <c r="F257" s="238"/>
      <c r="G257" s="302"/>
    </row>
    <row r="258" spans="2:15" ht="14.25" customHeight="1" x14ac:dyDescent="0.25">
      <c r="B258" s="379" t="s">
        <v>1451</v>
      </c>
      <c r="C258" s="383"/>
      <c r="D258" s="389"/>
      <c r="E258" s="379" t="str">
        <f>VLOOKUP("T.06.216",Translation,LanguageNo+1,FALSE)</f>
        <v>Befristete nachrangige Verbindlichkeiten</v>
      </c>
      <c r="F258" s="376">
        <f>SUM(F259:F261)</f>
        <v>0</v>
      </c>
      <c r="G258" s="302"/>
    </row>
    <row r="259" spans="2:15" ht="14.25" customHeight="1" x14ac:dyDescent="0.25">
      <c r="B259" s="379" t="s">
        <v>1452</v>
      </c>
      <c r="C259" s="383"/>
      <c r="D259" s="389"/>
      <c r="E259" s="398" t="str">
        <f>VLOOKUP("T.06.217",Translation,LanguageNo+1,FALSE)</f>
        <v>Tier 2-RAK - im SST angerechnet</v>
      </c>
      <c r="F259" s="84"/>
      <c r="G259" s="302"/>
    </row>
    <row r="260" spans="2:15" ht="14.25" customHeight="1" x14ac:dyDescent="0.25">
      <c r="B260" s="379" t="s">
        <v>1453</v>
      </c>
      <c r="C260" s="381"/>
      <c r="D260" s="389"/>
      <c r="E260" s="398" t="str">
        <f>VLOOKUP("T.06.218",Translation,LanguageNo+1,FALSE)</f>
        <v>Tier 2-RAK - im SST nicht angerechnet</v>
      </c>
      <c r="F260" s="84"/>
      <c r="G260" s="302"/>
    </row>
    <row r="261" spans="2:15" ht="14.25" customHeight="1" x14ac:dyDescent="0.25">
      <c r="B261" s="383" t="s">
        <v>1454</v>
      </c>
      <c r="C261" s="383"/>
      <c r="D261" s="389"/>
      <c r="E261" s="398" t="str">
        <f>VLOOKUP("T.06.219",Translation,LanguageNo+1,FALSE)</f>
        <v>Andere befristete nachrangige Verbindlichkeiten</v>
      </c>
      <c r="F261" s="428"/>
      <c r="G261" s="302"/>
      <c r="I261" s="308" t="str">
        <f>VLOOKUP("T.06.223",Translation,LanguageNo+1,FALSE) &amp;" " &amp;Unit &amp;'Participation Inputs'!D7</f>
        <v>Aufriss nach Währungen in Mio. CHF</v>
      </c>
      <c r="J261" s="308"/>
      <c r="K261" s="308"/>
      <c r="L261" s="78"/>
      <c r="M261" s="78"/>
      <c r="N261" s="78"/>
      <c r="O261" s="78"/>
    </row>
    <row r="262" spans="2:15" ht="14.25" customHeight="1" x14ac:dyDescent="0.25">
      <c r="B262" s="122"/>
      <c r="C262" s="184"/>
      <c r="D262" s="77"/>
      <c r="E262" s="76"/>
      <c r="F262" s="72"/>
      <c r="G262" s="304"/>
      <c r="I262" s="80"/>
      <c r="J262" s="116" t="s">
        <v>11</v>
      </c>
      <c r="K262" s="116" t="s">
        <v>12</v>
      </c>
      <c r="L262" s="116" t="s">
        <v>14</v>
      </c>
      <c r="M262" s="116" t="s">
        <v>13</v>
      </c>
      <c r="N262" s="116" t="s">
        <v>19</v>
      </c>
      <c r="O262" s="116" t="s">
        <v>775</v>
      </c>
    </row>
    <row r="263" spans="2:15" ht="14.25" customHeight="1" x14ac:dyDescent="0.25">
      <c r="B263" s="262" t="s">
        <v>1455</v>
      </c>
      <c r="C263" s="383">
        <v>211000000</v>
      </c>
      <c r="D263" s="383" t="s">
        <v>979</v>
      </c>
      <c r="E263" s="110" t="str">
        <f>VLOOKUP("T.06.220",Translation,LanguageNo+1,FALSE)</f>
        <v>Total Verbindlichkeiten</v>
      </c>
      <c r="F263" s="413">
        <f>F172+F209+F217+F219+F224+F226+F234+F236+F240+F244+F248</f>
        <v>0</v>
      </c>
      <c r="G263" s="402">
        <f>IF($F$263=0,0,F263/$F$263)</f>
        <v>0</v>
      </c>
      <c r="I263" s="412" t="str">
        <f>IF(ABS(F263-SUM(J263:O263))&lt;0.01,"OK","Korrektur")</f>
        <v>OK</v>
      </c>
      <c r="J263" s="42"/>
      <c r="K263" s="118"/>
      <c r="L263" s="118"/>
      <c r="M263" s="118"/>
      <c r="N263" s="118"/>
      <c r="O263" s="118"/>
    </row>
    <row r="264" spans="2:15" ht="14.25" customHeight="1" x14ac:dyDescent="0.25">
      <c r="B264" s="76"/>
      <c r="C264" s="76"/>
      <c r="D264" s="76"/>
      <c r="E264" s="119"/>
      <c r="F264" s="72"/>
      <c r="G264" s="304"/>
    </row>
    <row r="265" spans="2:15" ht="14.25" customHeight="1" x14ac:dyDescent="0.25">
      <c r="B265" s="123" t="s">
        <v>1456</v>
      </c>
      <c r="C265" s="123"/>
      <c r="D265" s="123"/>
      <c r="E265" s="124" t="str">
        <f>VLOOKUP("T.06.221",Translation,LanguageNo+1,FALSE)</f>
        <v>Differenz</v>
      </c>
      <c r="F265" s="241">
        <f>F168-F263</f>
        <v>0</v>
      </c>
      <c r="G265" s="305"/>
    </row>
    <row r="266" spans="2:15" x14ac:dyDescent="0.25">
      <c r="B266" s="202"/>
      <c r="C266" s="202"/>
      <c r="D266" s="201"/>
    </row>
    <row r="267" spans="2:15" x14ac:dyDescent="0.25">
      <c r="B267" s="202"/>
      <c r="C267" s="202"/>
      <c r="D267" s="202"/>
    </row>
    <row r="268" spans="2:15" x14ac:dyDescent="0.25">
      <c r="B268" s="202"/>
      <c r="C268" s="202"/>
      <c r="D268" s="125"/>
    </row>
    <row r="269" spans="2:15" x14ac:dyDescent="0.25">
      <c r="B269" s="202"/>
      <c r="C269" s="202"/>
      <c r="D269" s="125"/>
    </row>
    <row r="270" spans="2:15" x14ac:dyDescent="0.25">
      <c r="B270" s="202"/>
      <c r="C270" s="202"/>
    </row>
    <row r="271" spans="2:15" x14ac:dyDescent="0.25">
      <c r="B271" s="202"/>
      <c r="C271" s="202"/>
    </row>
    <row r="272" spans="2:15" x14ac:dyDescent="0.25">
      <c r="B272" s="202"/>
      <c r="C272" s="202"/>
    </row>
    <row r="273" spans="2:3" x14ac:dyDescent="0.25">
      <c r="B273" s="202"/>
      <c r="C273" s="202"/>
    </row>
    <row r="274" spans="2:3" x14ac:dyDescent="0.25">
      <c r="B274" s="202"/>
      <c r="C274" s="202"/>
    </row>
    <row r="275" spans="2:3" x14ac:dyDescent="0.25">
      <c r="B275" s="202"/>
      <c r="C275" s="202"/>
    </row>
    <row r="276" spans="2:3" x14ac:dyDescent="0.25">
      <c r="B276" s="202"/>
      <c r="C276" s="202"/>
    </row>
    <row r="277" spans="2:3" x14ac:dyDescent="0.25">
      <c r="B277" s="202"/>
      <c r="C277" s="202"/>
    </row>
    <row r="278" spans="2:3" x14ac:dyDescent="0.25">
      <c r="B278" s="202"/>
      <c r="C278" s="202"/>
    </row>
    <row r="279" spans="2:3" x14ac:dyDescent="0.25">
      <c r="B279" s="202"/>
      <c r="C279" s="202"/>
    </row>
    <row r="280" spans="2:3" x14ac:dyDescent="0.25">
      <c r="B280" s="202"/>
      <c r="C280" s="202"/>
    </row>
    <row r="281" spans="2:3" x14ac:dyDescent="0.25">
      <c r="B281" s="202"/>
      <c r="C281" s="202"/>
    </row>
    <row r="282" spans="2:3" x14ac:dyDescent="0.25">
      <c r="B282" s="202"/>
      <c r="C282" s="202"/>
    </row>
    <row r="283" spans="2:3" x14ac:dyDescent="0.25">
      <c r="B283" s="202"/>
      <c r="C283" s="202"/>
    </row>
    <row r="284" spans="2:3" x14ac:dyDescent="0.25">
      <c r="B284" s="202"/>
      <c r="C284" s="202"/>
    </row>
    <row r="285" spans="2:3" x14ac:dyDescent="0.25">
      <c r="B285" s="202"/>
      <c r="C285" s="202"/>
    </row>
    <row r="286" spans="2:3" x14ac:dyDescent="0.25">
      <c r="B286" s="202"/>
      <c r="C286" s="202"/>
    </row>
    <row r="287" spans="2:3" x14ac:dyDescent="0.25">
      <c r="B287" s="202"/>
      <c r="C287" s="202"/>
    </row>
    <row r="288" spans="2:3" x14ac:dyDescent="0.25">
      <c r="B288" s="202"/>
      <c r="C288" s="202"/>
    </row>
    <row r="289" spans="2:3" x14ac:dyDescent="0.25">
      <c r="B289" s="202"/>
      <c r="C289" s="202"/>
    </row>
    <row r="290" spans="2:3" x14ac:dyDescent="0.25">
      <c r="B290" s="202"/>
      <c r="C290" s="202"/>
    </row>
    <row r="291" spans="2:3" x14ac:dyDescent="0.25">
      <c r="B291" s="202"/>
      <c r="C291" s="202"/>
    </row>
    <row r="292" spans="2:3" x14ac:dyDescent="0.25">
      <c r="B292" s="202"/>
      <c r="C292" s="202"/>
    </row>
    <row r="293" spans="2:3" x14ac:dyDescent="0.25">
      <c r="B293" s="202"/>
      <c r="C293" s="202"/>
    </row>
    <row r="294" spans="2:3" x14ac:dyDescent="0.25">
      <c r="B294" s="202"/>
      <c r="C294" s="202"/>
    </row>
    <row r="295" spans="2:3" x14ac:dyDescent="0.25">
      <c r="B295" s="202"/>
      <c r="C295" s="202"/>
    </row>
    <row r="296" spans="2:3" x14ac:dyDescent="0.25">
      <c r="B296" s="202"/>
      <c r="C296" s="202"/>
    </row>
    <row r="297" spans="2:3" x14ac:dyDescent="0.25">
      <c r="B297" s="202"/>
      <c r="C297" s="202"/>
    </row>
    <row r="298" spans="2:3" x14ac:dyDescent="0.25">
      <c r="B298" s="202"/>
      <c r="C298" s="202"/>
    </row>
    <row r="299" spans="2:3" x14ac:dyDescent="0.25">
      <c r="B299" s="202"/>
      <c r="C299" s="202"/>
    </row>
    <row r="300" spans="2:3" x14ac:dyDescent="0.25">
      <c r="B300" s="202"/>
      <c r="C300" s="202"/>
    </row>
    <row r="301" spans="2:3" x14ac:dyDescent="0.25">
      <c r="B301" s="202"/>
      <c r="C301" s="202"/>
    </row>
    <row r="302" spans="2:3" x14ac:dyDescent="0.25">
      <c r="B302" s="202"/>
      <c r="C302" s="202"/>
    </row>
    <row r="303" spans="2:3" x14ac:dyDescent="0.25">
      <c r="B303" s="202"/>
      <c r="C303" s="202"/>
    </row>
    <row r="304" spans="2:3" x14ac:dyDescent="0.25">
      <c r="B304" s="202"/>
      <c r="C304" s="202"/>
    </row>
    <row r="305" spans="2:3" x14ac:dyDescent="0.25">
      <c r="B305" s="202"/>
      <c r="C305" s="202"/>
    </row>
    <row r="306" spans="2:3" x14ac:dyDescent="0.25">
      <c r="B306" s="202"/>
      <c r="C306" s="202"/>
    </row>
    <row r="307" spans="2:3" x14ac:dyDescent="0.25">
      <c r="B307" s="202"/>
      <c r="C307" s="202"/>
    </row>
    <row r="308" spans="2:3" x14ac:dyDescent="0.25">
      <c r="B308" s="202"/>
      <c r="C308" s="202"/>
    </row>
  </sheetData>
  <mergeCells count="6">
    <mergeCell ref="M28:M29"/>
    <mergeCell ref="N28:N29"/>
    <mergeCell ref="I35:I36"/>
    <mergeCell ref="J28:J29"/>
    <mergeCell ref="K28:K29"/>
    <mergeCell ref="L28:L29"/>
  </mergeCells>
  <pageMargins left="0.70866141732283472" right="0.70866141732283472" top="0.78740157480314965" bottom="0.78740157480314965" header="0.31496062992125984" footer="0.31496062992125984"/>
  <pageSetup paperSize="8" scale="22"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rgb="FFD4ECF9"/>
    <pageSetUpPr fitToPage="1"/>
  </sheetPr>
  <dimension ref="A1:S308"/>
  <sheetViews>
    <sheetView showGridLines="0" tabSelected="1" zoomScale="90" zoomScaleNormal="90" workbookViewId="0"/>
  </sheetViews>
  <sheetFormatPr baseColWidth="10" defaultColWidth="8.5703125" defaultRowHeight="12.75" customHeight="1" x14ac:dyDescent="0.25"/>
  <cols>
    <col min="1" max="1" width="5.5703125" style="46" customWidth="1"/>
    <col min="2" max="2" width="5.5703125" style="47" customWidth="1"/>
    <col min="3" max="3" width="5.5703125" style="170" customWidth="1"/>
    <col min="4" max="4" width="14.5703125" style="202" customWidth="1"/>
    <col min="5" max="5" width="14.5703125" style="43" customWidth="1"/>
    <col min="6" max="6" width="95.5703125" style="48" customWidth="1"/>
    <col min="7" max="7" width="16.5703125" style="171" customWidth="1"/>
    <col min="8" max="14" width="16.5703125" style="46" customWidth="1"/>
    <col min="15" max="16384" width="8.5703125" style="46"/>
  </cols>
  <sheetData>
    <row r="1" spans="1:14" ht="20.100000000000001" customHeight="1" x14ac:dyDescent="0.25">
      <c r="A1" s="3">
        <v>5</v>
      </c>
      <c r="B1" s="259" t="str">
        <f>VLOOKUP("T.08.01",Translation,LanguageNo+1,FALSE)</f>
        <v>Differenzen zwischen statutarischer und marktkonformer Bewertung (SST-Bilanz)</v>
      </c>
      <c r="D1" s="127"/>
      <c r="E1" s="127"/>
      <c r="F1" s="44"/>
      <c r="G1" s="44"/>
      <c r="H1" s="44"/>
      <c r="I1" s="44"/>
      <c r="J1" s="44"/>
      <c r="K1" s="44"/>
      <c r="L1" s="587" t="s">
        <v>1645</v>
      </c>
      <c r="M1" s="588">
        <f>M181-M120</f>
        <v>0</v>
      </c>
      <c r="N1" s="44"/>
    </row>
    <row r="2" spans="1:14" ht="14.25" customHeight="1" x14ac:dyDescent="0.25">
      <c r="H2" s="172"/>
      <c r="I2" s="172"/>
      <c r="J2" s="44"/>
      <c r="K2" s="173"/>
      <c r="L2" s="589" t="s">
        <v>1634</v>
      </c>
      <c r="M2" s="590">
        <f>M168-M118-(M263-M172)</f>
        <v>0</v>
      </c>
      <c r="N2" s="44"/>
    </row>
    <row r="3" spans="1:14" ht="14.25" customHeight="1" x14ac:dyDescent="0.25">
      <c r="K3" s="174"/>
      <c r="L3" s="591" t="s">
        <v>1646</v>
      </c>
      <c r="M3" s="592">
        <f>M172-M181-(M118-M120)</f>
        <v>0</v>
      </c>
    </row>
    <row r="4" spans="1:14" ht="140.1" customHeight="1" x14ac:dyDescent="0.25">
      <c r="B4" s="175" t="str">
        <f>VLOOKUP("T.06.03",Translation,LanguageNo+1,FALSE)</f>
        <v>Staffelrechnung</v>
      </c>
      <c r="C4" s="176"/>
      <c r="D4" s="422"/>
      <c r="E4" s="177"/>
      <c r="F4" s="178" t="str">
        <f>VLOOKUP("T.06.02",Translation,LanguageNo+1,FALSE)</f>
        <v>SST-Bilanz für das BVG-Geschäft</v>
      </c>
      <c r="G4" s="203" t="str">
        <f>VLOOKUP("T.08.03",Translation,LanguageNo+1,FALSE) &amp;Unit &amp;'Participation Inputs'!D7</f>
        <v>Statutarischer Wert  in Mio. CHF</v>
      </c>
      <c r="H4" s="250" t="str">
        <f>VLOOKUP("T.08.04",Translation,LanguageNo+1,FALSE)</f>
        <v>Allokation REF (Hier Zeilenref angeben, auf die alloziert werden soll.)</v>
      </c>
      <c r="I4" s="204" t="str">
        <f>VLOOKUP("T.08.05",Translation,LanguageNo+1,FALSE)</f>
        <v>Allokation WERT (Umzulegender Wert)</v>
      </c>
      <c r="J4" s="204" t="str">
        <f>VLOOKUP("T.08.06",Translation,LanguageNo+1,FALSE)</f>
        <v>Zwischenergebnis</v>
      </c>
      <c r="K4" s="250" t="str">
        <f>VLOOKUP("T.08.07",Translation,LanguageNo+1,FALSE)</f>
        <v>Weitere Allokationen Müssen sich gegenseitig kompensieren. Zu benützen, wenn Spalten G und H nicht genügen. Bitte im SST-Bericht begründen.</v>
      </c>
      <c r="L4" s="204" t="str">
        <f>VLOOKUP("T.08.08",Translation,LanguageNo+1,FALSE)</f>
        <v xml:space="preserve">Statutarischer Bilanzwert nach Allokation </v>
      </c>
      <c r="M4" s="205" t="str">
        <f>VLOOKUP("T.08.09",Translation,LanguageNo+1,FALSE)</f>
        <v>Bewertungsdifferenzen zw. statutarischem und marktkonformem Wert</v>
      </c>
      <c r="N4" s="249" t="str">
        <f>VLOOKUP("T.06.06",Translation,LanguageNo+1,FALSE) &amp;Unit &amp;'Participation Inputs'!D7</f>
        <v>Marktkonformer Wert in Mio. CHF</v>
      </c>
    </row>
    <row r="5" spans="1:14" ht="40.35" customHeight="1" x14ac:dyDescent="0.25">
      <c r="B5" s="323" t="s">
        <v>636</v>
      </c>
      <c r="C5" s="324" t="str">
        <f>VLOOKUP("T.08.02",Translation,LanguageNo+1,FALSE)</f>
        <v>Vorzeichen</v>
      </c>
      <c r="D5" s="325" t="str">
        <f>VLOOKUP("T.06.04",Translation,LanguageNo+1,FALSE)</f>
        <v>Id EHP-AVO-Kontenplan</v>
      </c>
      <c r="E5" s="325" t="str">
        <f>VLOOKUP("T.06.05",Translation,LanguageNo+1,FALSE)</f>
        <v>MCV-Kontonummer</v>
      </c>
      <c r="F5" s="326"/>
      <c r="G5" s="327" t="str">
        <f>"31.12."&amp;Year-1</f>
        <v>31.12.2024</v>
      </c>
      <c r="H5" s="328"/>
      <c r="I5" s="328"/>
      <c r="J5" s="329" t="str">
        <f>"31.12."&amp;Year-1</f>
        <v>31.12.2024</v>
      </c>
      <c r="K5" s="328"/>
      <c r="L5" s="329" t="str">
        <f>"31.12."&amp;Year-1</f>
        <v>31.12.2024</v>
      </c>
      <c r="M5" s="328"/>
      <c r="N5" s="330" t="str">
        <f>"31.12."&amp;Year-1</f>
        <v>31.12.2024</v>
      </c>
    </row>
    <row r="6" spans="1:14" ht="14.25" customHeight="1" x14ac:dyDescent="0.25">
      <c r="B6" s="319">
        <f>ROW(B$265)-ROW(B$6)</f>
        <v>259</v>
      </c>
      <c r="C6" s="320"/>
      <c r="D6" s="321"/>
      <c r="E6" s="321"/>
      <c r="F6" s="322"/>
      <c r="G6" s="46"/>
    </row>
    <row r="7" spans="1:14" ht="14.25" customHeight="1" x14ac:dyDescent="0.25">
      <c r="B7" s="38">
        <f>ROW(B7)</f>
        <v>7</v>
      </c>
      <c r="C7" s="179"/>
      <c r="D7" s="38"/>
      <c r="E7" s="38"/>
      <c r="F7" s="415" t="str">
        <f>VLOOKUP("T.06.08",Translation,LanguageNo+1,FALSE)</f>
        <v>1.1 Kapitalanlagen</v>
      </c>
      <c r="G7" s="75"/>
      <c r="H7" s="75"/>
      <c r="I7" s="75"/>
      <c r="J7" s="180"/>
      <c r="K7" s="74"/>
      <c r="L7" s="180"/>
      <c r="M7" s="180"/>
      <c r="N7" s="180"/>
    </row>
    <row r="8" spans="1:14" ht="14.25" customHeight="1" x14ac:dyDescent="0.25">
      <c r="B8" s="38">
        <f t="shared" ref="B8:B72" si="0">ROW(B8)</f>
        <v>8</v>
      </c>
      <c r="C8" s="179"/>
      <c r="D8" s="399">
        <v>101100000</v>
      </c>
      <c r="E8" s="389" t="s">
        <v>871</v>
      </c>
      <c r="F8" s="62" t="str">
        <f>VLOOKUP("T.06.09",Translation,LanguageNo+1,FALSE)</f>
        <v>1.1.1 Immobilien</v>
      </c>
      <c r="G8" s="426">
        <f>G9+G12+G15+G18</f>
        <v>0</v>
      </c>
      <c r="H8" s="75"/>
      <c r="I8" s="75"/>
      <c r="J8" s="426">
        <f>J9+J12+J15+J18</f>
        <v>0</v>
      </c>
      <c r="K8" s="426">
        <f t="shared" ref="K8:L8" si="1">K9+K12+K15+K18</f>
        <v>0</v>
      </c>
      <c r="L8" s="426">
        <f t="shared" si="1"/>
        <v>0</v>
      </c>
      <c r="M8" s="180">
        <f>$N8-$L8</f>
        <v>0</v>
      </c>
      <c r="N8" s="180">
        <f>'SST Balance Sheet BVG'!F8</f>
        <v>0</v>
      </c>
    </row>
    <row r="9" spans="1:14" ht="14.25" customHeight="1" x14ac:dyDescent="0.25">
      <c r="B9" s="38">
        <f t="shared" si="0"/>
        <v>9</v>
      </c>
      <c r="C9" s="181"/>
      <c r="D9" s="399">
        <v>101110000</v>
      </c>
      <c r="E9" s="389"/>
      <c r="F9" s="180" t="str">
        <f>VLOOKUP("T.06.10",Translation,LanguageNo+1,FALSE)</f>
        <v>Wohnimmobilien</v>
      </c>
      <c r="G9" s="375">
        <f>SUM(G10:G11)</f>
        <v>0</v>
      </c>
      <c r="H9" s="375"/>
      <c r="I9" s="375"/>
      <c r="J9" s="375">
        <f>SUM(J10:J11)</f>
        <v>0</v>
      </c>
      <c r="K9" s="375">
        <f>SUM(K10:K11)</f>
        <v>0</v>
      </c>
      <c r="L9" s="375">
        <f>SUM(L10:L11)</f>
        <v>0</v>
      </c>
      <c r="M9" s="180">
        <f t="shared" ref="M9:M18" si="2">$N9-$L9</f>
        <v>0</v>
      </c>
      <c r="N9" s="180">
        <f>'SST Balance Sheet BVG'!F9</f>
        <v>0</v>
      </c>
    </row>
    <row r="10" spans="1:14" ht="14.25" customHeight="1" x14ac:dyDescent="0.25">
      <c r="B10" s="38">
        <f t="shared" si="0"/>
        <v>10</v>
      </c>
      <c r="C10" s="181">
        <v>1</v>
      </c>
      <c r="D10" s="395"/>
      <c r="E10" s="381"/>
      <c r="F10" s="83" t="str">
        <f>VLOOKUP("T.06.11",Translation,LanguageNo+1,FALSE)</f>
        <v>Wohnimmobilien: Inland</v>
      </c>
      <c r="G10" s="427"/>
      <c r="H10" s="106"/>
      <c r="I10" s="429"/>
      <c r="J10" s="83" cm="1">
        <f t="array" ref="J10">IF(ISBLANK(B10),"",G10+SUMPRODUCT(--($H$6:$H$265=B10),$I$6:$I$265,$C$6:$C$265)*C10-I10)</f>
        <v>0</v>
      </c>
      <c r="K10" s="430"/>
      <c r="L10" s="83">
        <f>$J10+$K10</f>
        <v>0</v>
      </c>
      <c r="M10" s="83">
        <f t="shared" si="2"/>
        <v>0</v>
      </c>
      <c r="N10" s="83">
        <f>'SST Balance Sheet BVG'!F10</f>
        <v>0</v>
      </c>
    </row>
    <row r="11" spans="1:14" ht="14.25" customHeight="1" x14ac:dyDescent="0.25">
      <c r="B11" s="38">
        <f t="shared" si="0"/>
        <v>11</v>
      </c>
      <c r="C11" s="181">
        <v>1</v>
      </c>
      <c r="D11" s="395"/>
      <c r="E11" s="381"/>
      <c r="F11" s="83" t="str">
        <f>VLOOKUP("T.06.12",Translation,LanguageNo+1,FALSE)</f>
        <v>Wohnimmobilien: Ausland</v>
      </c>
      <c r="G11" s="84"/>
      <c r="H11" s="106"/>
      <c r="I11" s="429"/>
      <c r="J11" s="83" cm="1">
        <f t="array" ref="J11">IF(ISBLANK(B11),"",G11+SUMPRODUCT(--($H$6:$H$265=B11),$I$6:$I$265,$C$6:$C$265)*C11-I11)</f>
        <v>0</v>
      </c>
      <c r="K11" s="430"/>
      <c r="L11" s="83">
        <f>$J11+$K11</f>
        <v>0</v>
      </c>
      <c r="M11" s="83">
        <f t="shared" si="2"/>
        <v>0</v>
      </c>
      <c r="N11" s="83">
        <f>'SST Balance Sheet BVG'!F11</f>
        <v>0</v>
      </c>
    </row>
    <row r="12" spans="1:14" ht="14.25" customHeight="1" x14ac:dyDescent="0.25">
      <c r="B12" s="38">
        <f t="shared" si="0"/>
        <v>12</v>
      </c>
      <c r="C12" s="181"/>
      <c r="D12" s="395">
        <v>101120100</v>
      </c>
      <c r="E12" s="381"/>
      <c r="F12" s="180" t="str">
        <f>VLOOKUP("T.06.13",Translation,LanguageNo+1,FALSE)</f>
        <v>Kommerzielle Liegenschaften</v>
      </c>
      <c r="G12" s="376">
        <f>SUM(G13:G14)</f>
        <v>0</v>
      </c>
      <c r="H12" s="296"/>
      <c r="I12" s="297"/>
      <c r="J12" s="376">
        <f>SUM(J13:J14)</f>
        <v>0</v>
      </c>
      <c r="K12" s="376">
        <f>SUM(K13:K14)</f>
        <v>0</v>
      </c>
      <c r="L12" s="376">
        <f>SUM(L13:L14)</f>
        <v>0</v>
      </c>
      <c r="M12" s="180">
        <f t="shared" si="2"/>
        <v>0</v>
      </c>
      <c r="N12" s="180">
        <f>'SST Balance Sheet BVG'!F12</f>
        <v>0</v>
      </c>
    </row>
    <row r="13" spans="1:14" ht="14.25" customHeight="1" x14ac:dyDescent="0.25">
      <c r="B13" s="38">
        <f t="shared" si="0"/>
        <v>13</v>
      </c>
      <c r="C13" s="181">
        <v>1</v>
      </c>
      <c r="D13" s="395"/>
      <c r="E13" s="381"/>
      <c r="F13" s="83" t="str">
        <f>VLOOKUP("T.06.14",Translation,LanguageNo+1,FALSE)</f>
        <v>Kommerzielle Liegenschaften: Inland</v>
      </c>
      <c r="G13" s="84"/>
      <c r="H13" s="106"/>
      <c r="I13" s="429"/>
      <c r="J13" s="83" cm="1">
        <f t="array" ref="J13">IF(ISBLANK(B13),"",G13+SUMPRODUCT(--($H$6:$H$265=B13),$I$6:$I$265,$C$6:$C$265)*C13-I13)</f>
        <v>0</v>
      </c>
      <c r="K13" s="430"/>
      <c r="L13" s="83">
        <f>$J13+$K13</f>
        <v>0</v>
      </c>
      <c r="M13" s="83">
        <f t="shared" si="2"/>
        <v>0</v>
      </c>
      <c r="N13" s="83">
        <f>'SST Balance Sheet BVG'!F13</f>
        <v>0</v>
      </c>
    </row>
    <row r="14" spans="1:14" ht="14.25" customHeight="1" x14ac:dyDescent="0.25">
      <c r="B14" s="38">
        <f t="shared" si="0"/>
        <v>14</v>
      </c>
      <c r="C14" s="181">
        <v>1</v>
      </c>
      <c r="D14" s="395"/>
      <c r="E14" s="381"/>
      <c r="F14" s="83" t="str">
        <f>VLOOKUP("T.06.15",Translation,LanguageNo+1,FALSE)</f>
        <v>Kommerzielle Liegenschaften: Ausland</v>
      </c>
      <c r="G14" s="84"/>
      <c r="H14" s="106"/>
      <c r="I14" s="429"/>
      <c r="J14" s="83" cm="1">
        <f t="array" ref="J14">IF(ISBLANK(B14),"",G14+SUMPRODUCT(--($H$6:$H$265=B14),$I$6:$I$265,$C$6:$C$265)*C14-I14)</f>
        <v>0</v>
      </c>
      <c r="K14" s="430"/>
      <c r="L14" s="83">
        <f>$J14+$K14</f>
        <v>0</v>
      </c>
      <c r="M14" s="83">
        <f t="shared" si="2"/>
        <v>0</v>
      </c>
      <c r="N14" s="83">
        <f>'SST Balance Sheet BVG'!F14</f>
        <v>0</v>
      </c>
    </row>
    <row r="15" spans="1:14" ht="14.25" customHeight="1" x14ac:dyDescent="0.25">
      <c r="B15" s="38">
        <f t="shared" si="0"/>
        <v>15</v>
      </c>
      <c r="C15" s="181"/>
      <c r="D15" s="395">
        <v>101130000</v>
      </c>
      <c r="E15" s="381"/>
      <c r="F15" s="180" t="str">
        <f>VLOOKUP("T.06.16",Translation,LanguageNo+1,FALSE)</f>
        <v>Gemischtgenutzte Immobilien</v>
      </c>
      <c r="G15" s="376">
        <f>SUM(G16:G17)</f>
        <v>0</v>
      </c>
      <c r="H15" s="296"/>
      <c r="I15" s="297"/>
      <c r="J15" s="376">
        <f>SUM(J16:J17)</f>
        <v>0</v>
      </c>
      <c r="K15" s="376">
        <f>SUM(K16:K17)</f>
        <v>0</v>
      </c>
      <c r="L15" s="376">
        <f>SUM(L16:L17)</f>
        <v>0</v>
      </c>
      <c r="M15" s="180">
        <f t="shared" si="2"/>
        <v>0</v>
      </c>
      <c r="N15" s="180">
        <f>'SST Balance Sheet BVG'!F15</f>
        <v>0</v>
      </c>
    </row>
    <row r="16" spans="1:14" ht="14.25" customHeight="1" x14ac:dyDescent="0.25">
      <c r="B16" s="38">
        <f t="shared" si="0"/>
        <v>16</v>
      </c>
      <c r="C16" s="181">
        <v>1</v>
      </c>
      <c r="D16" s="395"/>
      <c r="E16" s="381"/>
      <c r="F16" s="83" t="str">
        <f>VLOOKUP("T.06.17",Translation,LanguageNo+1,FALSE)</f>
        <v>Gemischtgenutzte Immobilien: Inland</v>
      </c>
      <c r="G16" s="84"/>
      <c r="H16" s="106"/>
      <c r="I16" s="429"/>
      <c r="J16" s="83" cm="1">
        <f t="array" ref="J16">IF(ISBLANK(B16),"",G16+SUMPRODUCT(--($H$6:$H$265=B16),$I$6:$I$265,$C$6:$C$265)*C16-I16)</f>
        <v>0</v>
      </c>
      <c r="K16" s="430"/>
      <c r="L16" s="83">
        <f>$J16+$K16</f>
        <v>0</v>
      </c>
      <c r="M16" s="83">
        <f t="shared" si="2"/>
        <v>0</v>
      </c>
      <c r="N16" s="83">
        <f>'SST Balance Sheet BVG'!F16</f>
        <v>0</v>
      </c>
    </row>
    <row r="17" spans="2:14" s="63" customFormat="1" ht="14.25" customHeight="1" x14ac:dyDescent="0.25">
      <c r="B17" s="38">
        <f t="shared" si="0"/>
        <v>17</v>
      </c>
      <c r="C17" s="181">
        <v>1</v>
      </c>
      <c r="D17" s="395"/>
      <c r="E17" s="381"/>
      <c r="F17" s="83" t="str">
        <f>VLOOKUP("T.06.18",Translation,LanguageNo+1,FALSE)</f>
        <v>Gemischtgenutzte Immobilien: Ausland</v>
      </c>
      <c r="G17" s="84"/>
      <c r="H17" s="431"/>
      <c r="I17" s="432"/>
      <c r="J17" s="83" cm="1">
        <f t="array" ref="J17">IF(ISBLANK(B17),"",G17+SUMPRODUCT(--($H$6:$H$265=B17),$I$6:$I$265,$C$6:$C$265)*C17-I17)</f>
        <v>0</v>
      </c>
      <c r="K17" s="433"/>
      <c r="L17" s="83">
        <f>$J17+$K17</f>
        <v>0</v>
      </c>
      <c r="M17" s="83">
        <f t="shared" si="2"/>
        <v>0</v>
      </c>
      <c r="N17" s="83">
        <f>'SST Balance Sheet BVG'!F17</f>
        <v>0</v>
      </c>
    </row>
    <row r="18" spans="2:14" ht="14.25" customHeight="1" x14ac:dyDescent="0.25">
      <c r="B18" s="38">
        <f t="shared" si="0"/>
        <v>18</v>
      </c>
      <c r="C18" s="181">
        <v>1</v>
      </c>
      <c r="D18" s="395"/>
      <c r="E18" s="401"/>
      <c r="F18" s="97" t="str">
        <f>VLOOKUP("T.06.19",Translation,LanguageNo+1,FALSE)</f>
        <v>Übrige Immobilien</v>
      </c>
      <c r="G18" s="64"/>
      <c r="H18" s="111"/>
      <c r="I18" s="94"/>
      <c r="J18" s="180" cm="1">
        <f t="array" ref="J18">IF(ISBLANK(B18),"",G18+SUMPRODUCT(--($H$6:$H$265=B18),$I$6:$I$265,$C$6:$C$265)*C18-I18)</f>
        <v>0</v>
      </c>
      <c r="K18" s="182"/>
      <c r="L18" s="180">
        <f>$J18+$K18</f>
        <v>0</v>
      </c>
      <c r="M18" s="180">
        <f t="shared" si="2"/>
        <v>0</v>
      </c>
      <c r="N18" s="180">
        <f>'SST Balance Sheet BVG'!F18</f>
        <v>0</v>
      </c>
    </row>
    <row r="19" spans="2:14" ht="14.25" customHeight="1" x14ac:dyDescent="0.25">
      <c r="B19" s="184"/>
      <c r="C19" s="183"/>
      <c r="D19" s="70"/>
      <c r="E19" s="70"/>
      <c r="F19" s="71"/>
      <c r="G19" s="72"/>
      <c r="H19" s="72"/>
      <c r="I19" s="72"/>
      <c r="J19" s="184"/>
      <c r="K19" s="72"/>
      <c r="L19" s="184"/>
      <c r="M19" s="184"/>
      <c r="N19" s="184"/>
    </row>
    <row r="20" spans="2:14" ht="14.25" customHeight="1" x14ac:dyDescent="0.25">
      <c r="B20" s="38">
        <f t="shared" si="0"/>
        <v>20</v>
      </c>
      <c r="C20" s="185"/>
      <c r="D20" s="383">
        <v>101200000</v>
      </c>
      <c r="E20" s="389" t="s">
        <v>872</v>
      </c>
      <c r="F20" s="377" t="str">
        <f>VLOOKUP("T.06.20",Translation,LanguageNo+1,FALSE)</f>
        <v>1.1.2 Beteiligungen</v>
      </c>
      <c r="G20" s="75">
        <f>G21+G25</f>
        <v>0</v>
      </c>
      <c r="H20" s="75"/>
      <c r="I20" s="75"/>
      <c r="J20" s="75">
        <f>J21+J25</f>
        <v>0</v>
      </c>
      <c r="K20" s="75">
        <f>K21+K25</f>
        <v>0</v>
      </c>
      <c r="L20" s="75">
        <f>L21+L25</f>
        <v>0</v>
      </c>
      <c r="M20" s="180">
        <f t="shared" ref="M20:M23" si="3">$N20-$L20</f>
        <v>0</v>
      </c>
      <c r="N20" s="180">
        <f>'SST Balance Sheet BVG'!F20</f>
        <v>0</v>
      </c>
    </row>
    <row r="21" spans="2:14" ht="14.25" customHeight="1" x14ac:dyDescent="0.25">
      <c r="B21" s="38">
        <f t="shared" si="0"/>
        <v>21</v>
      </c>
      <c r="C21" s="179"/>
      <c r="D21" s="383">
        <v>101200100</v>
      </c>
      <c r="E21" s="389" t="s">
        <v>873</v>
      </c>
      <c r="F21" s="378" t="str">
        <f>VLOOKUP("T.06.21",Translation,LanguageNo+1,FALSE)</f>
        <v>Beteiligungen: Quote &gt; 50 %</v>
      </c>
      <c r="G21" s="74">
        <f>SUM(G22:G23)</f>
        <v>0</v>
      </c>
      <c r="H21" s="74"/>
      <c r="I21" s="74"/>
      <c r="J21" s="75">
        <f>SUM(J22:J23)</f>
        <v>0</v>
      </c>
      <c r="K21" s="74">
        <f>SUM(K22:K23)</f>
        <v>0</v>
      </c>
      <c r="L21" s="75">
        <f>SUM(L22:L23)</f>
        <v>0</v>
      </c>
      <c r="M21" s="180">
        <f t="shared" si="3"/>
        <v>0</v>
      </c>
      <c r="N21" s="180">
        <f>'SST Balance Sheet BVG'!F21</f>
        <v>0</v>
      </c>
    </row>
    <row r="22" spans="2:14" ht="14.25" customHeight="1" x14ac:dyDescent="0.25">
      <c r="B22" s="38">
        <f t="shared" si="0"/>
        <v>22</v>
      </c>
      <c r="C22" s="181">
        <v>1</v>
      </c>
      <c r="D22" s="381"/>
      <c r="E22" s="383"/>
      <c r="F22" s="379" t="str">
        <f>VLOOKUP("T.06.22",Translation,LanguageNo+1,FALSE)</f>
        <v>Beteiligungen an Versicherungsgesellschaften</v>
      </c>
      <c r="G22" s="64"/>
      <c r="H22" s="36"/>
      <c r="I22" s="79"/>
      <c r="J22" s="180" cm="1">
        <f t="array" ref="J22">IF(ISBLANK(B22),"",G22+SUMPRODUCT(--($H$6:$H$265=B22),$I$6:$I$265,$C$6:$C$265)*C22-I22)</f>
        <v>0</v>
      </c>
      <c r="K22" s="65"/>
      <c r="L22" s="180">
        <f t="shared" ref="L22:L23" si="4">$J22+$K22</f>
        <v>0</v>
      </c>
      <c r="M22" s="180">
        <f t="shared" si="3"/>
        <v>0</v>
      </c>
      <c r="N22" s="180">
        <f>'SST Balance Sheet BVG'!F22</f>
        <v>0</v>
      </c>
    </row>
    <row r="23" spans="2:14" ht="14.25" customHeight="1" x14ac:dyDescent="0.25">
      <c r="B23" s="38">
        <f t="shared" si="0"/>
        <v>23</v>
      </c>
      <c r="C23" s="181">
        <v>1</v>
      </c>
      <c r="D23" s="383"/>
      <c r="E23" s="381"/>
      <c r="F23" s="379" t="str">
        <f>VLOOKUP("T.06.23",Translation,LanguageNo+1,FALSE)</f>
        <v>Übrige Beteiligungen</v>
      </c>
      <c r="G23" s="68"/>
      <c r="H23" s="111"/>
      <c r="I23" s="94"/>
      <c r="J23" s="180" cm="1">
        <f t="array" ref="J23">IF(ISBLANK(B23),"",G23+SUMPRODUCT(--($H$6:$H$265=B23),$I$6:$I$265,$C$6:$C$265)*C23-I23)</f>
        <v>0</v>
      </c>
      <c r="K23" s="182"/>
      <c r="L23" s="180">
        <f t="shared" si="4"/>
        <v>0</v>
      </c>
      <c r="M23" s="180">
        <f t="shared" si="3"/>
        <v>0</v>
      </c>
      <c r="N23" s="180">
        <f>'SST Balance Sheet BVG'!F23</f>
        <v>0</v>
      </c>
    </row>
    <row r="24" spans="2:14" ht="14.25" customHeight="1" x14ac:dyDescent="0.25">
      <c r="B24" s="76"/>
      <c r="C24" s="186"/>
      <c r="D24" s="76"/>
      <c r="E24" s="76"/>
      <c r="F24" s="71"/>
      <c r="G24" s="72"/>
      <c r="H24" s="72"/>
      <c r="I24" s="72"/>
      <c r="J24" s="184"/>
      <c r="K24" s="72"/>
      <c r="L24" s="184"/>
      <c r="M24" s="184"/>
      <c r="N24" s="184"/>
    </row>
    <row r="25" spans="2:14" ht="14.25" customHeight="1" x14ac:dyDescent="0.25">
      <c r="B25" s="38">
        <f t="shared" si="0"/>
        <v>25</v>
      </c>
      <c r="C25" s="179"/>
      <c r="D25" s="381">
        <v>101200200</v>
      </c>
      <c r="E25" s="389" t="s">
        <v>874</v>
      </c>
      <c r="F25" s="378" t="str">
        <f>VLOOKUP("T.06.24",Translation,LanguageNo+1,FALSE)</f>
        <v>Beteiligungen: Quote 20 % bis 50 %</v>
      </c>
      <c r="G25" s="74">
        <f>SUM(G26:G27)</f>
        <v>0</v>
      </c>
      <c r="H25" s="74"/>
      <c r="I25" s="74"/>
      <c r="J25" s="75">
        <f>SUM(J26:J27)</f>
        <v>0</v>
      </c>
      <c r="K25" s="74">
        <f>SUM(K26:K27)</f>
        <v>0</v>
      </c>
      <c r="L25" s="75">
        <f>SUM(L26:L27)</f>
        <v>0</v>
      </c>
      <c r="M25" s="180">
        <f t="shared" ref="M25:M27" si="5">$N25-$L25</f>
        <v>0</v>
      </c>
      <c r="N25" s="180">
        <f>'SST Balance Sheet BVG'!F25</f>
        <v>0</v>
      </c>
    </row>
    <row r="26" spans="2:14" ht="14.25" customHeight="1" x14ac:dyDescent="0.25">
      <c r="B26" s="38">
        <f t="shared" si="0"/>
        <v>26</v>
      </c>
      <c r="C26" s="181">
        <v>1</v>
      </c>
      <c r="D26" s="381"/>
      <c r="E26" s="383"/>
      <c r="F26" s="379" t="str">
        <f>VLOOKUP("T.06.25",Translation,LanguageNo+1,FALSE)</f>
        <v>Beteiligungen an Versicherungsgesellschaften</v>
      </c>
      <c r="G26" s="64"/>
      <c r="H26" s="36"/>
      <c r="I26" s="79"/>
      <c r="J26" s="180" cm="1">
        <f t="array" ref="J26">IF(ISBLANK(B26),"",G26+SUMPRODUCT(--($H$6:$H$265=B26),$I$6:$I$265,$C$6:$C$265)*C26-I26)</f>
        <v>0</v>
      </c>
      <c r="K26" s="65"/>
      <c r="L26" s="180">
        <f t="shared" ref="L26:L27" si="6">$J26+$K26</f>
        <v>0</v>
      </c>
      <c r="M26" s="180">
        <f t="shared" si="5"/>
        <v>0</v>
      </c>
      <c r="N26" s="180">
        <f>'SST Balance Sheet BVG'!F26</f>
        <v>0</v>
      </c>
    </row>
    <row r="27" spans="2:14" ht="14.25" customHeight="1" x14ac:dyDescent="0.25">
      <c r="B27" s="38">
        <f t="shared" si="0"/>
        <v>27</v>
      </c>
      <c r="C27" s="181">
        <v>1</v>
      </c>
      <c r="D27" s="383"/>
      <c r="E27" s="381"/>
      <c r="F27" s="379" t="str">
        <f>VLOOKUP("T.06.26",Translation,LanguageNo+1,FALSE)</f>
        <v>Übrige Beteiligungen</v>
      </c>
      <c r="G27" s="64"/>
      <c r="H27" s="36"/>
      <c r="I27" s="79"/>
      <c r="J27" s="180" cm="1">
        <f t="array" ref="J27">IF(ISBLANK(B27),"",G27+SUMPRODUCT(--($H$6:$H$265=B27),$I$6:$I$265,$C$6:$C$265)*C27-I27)</f>
        <v>0</v>
      </c>
      <c r="K27" s="65"/>
      <c r="L27" s="180">
        <f t="shared" si="6"/>
        <v>0</v>
      </c>
      <c r="M27" s="180">
        <f t="shared" si="5"/>
        <v>0</v>
      </c>
      <c r="N27" s="180">
        <f>'SST Balance Sheet BVG'!F27</f>
        <v>0</v>
      </c>
    </row>
    <row r="28" spans="2:14" ht="14.25" customHeight="1" x14ac:dyDescent="0.25">
      <c r="B28" s="76"/>
      <c r="C28" s="186"/>
      <c r="D28" s="76"/>
      <c r="E28" s="76"/>
      <c r="F28" s="71"/>
      <c r="G28" s="72"/>
      <c r="H28" s="72"/>
      <c r="I28" s="72"/>
      <c r="J28" s="184"/>
      <c r="K28" s="72"/>
      <c r="L28" s="184"/>
      <c r="M28" s="184"/>
      <c r="N28" s="184"/>
    </row>
    <row r="29" spans="2:14" ht="14.25" customHeight="1" x14ac:dyDescent="0.25">
      <c r="B29" s="38">
        <f t="shared" si="0"/>
        <v>29</v>
      </c>
      <c r="C29" s="179"/>
      <c r="D29" s="381">
        <v>101300000</v>
      </c>
      <c r="E29" s="389" t="s">
        <v>875</v>
      </c>
      <c r="F29" s="377" t="str">
        <f>VLOOKUP("T.06.27",Translation,LanguageNo+1,FALSE)</f>
        <v>1.1.3 Festverzinsliche Wertpapiere</v>
      </c>
      <c r="G29" s="74">
        <f>G30+G33+SUM(G35:G37)</f>
        <v>0</v>
      </c>
      <c r="H29" s="74"/>
      <c r="I29" s="74"/>
      <c r="J29" s="75">
        <f>J30+J33+SUM(J35:J37)</f>
        <v>0</v>
      </c>
      <c r="K29" s="74">
        <f>K30+K33+SUM(K35:K37)</f>
        <v>0</v>
      </c>
      <c r="L29" s="75">
        <f>L30+L33+SUM(L35:L37)</f>
        <v>0</v>
      </c>
      <c r="M29" s="180">
        <f t="shared" ref="M29:M30" si="7">$N29-$L29</f>
        <v>0</v>
      </c>
      <c r="N29" s="180">
        <f>'SST Balance Sheet BVG'!F29</f>
        <v>0</v>
      </c>
    </row>
    <row r="30" spans="2:14" ht="14.25" customHeight="1" x14ac:dyDescent="0.25">
      <c r="B30" s="38">
        <f t="shared" si="0"/>
        <v>30</v>
      </c>
      <c r="C30" s="181">
        <v>1</v>
      </c>
      <c r="D30" s="381">
        <v>101300100</v>
      </c>
      <c r="E30" s="389" t="s">
        <v>876</v>
      </c>
      <c r="F30" s="373" t="str">
        <f>VLOOKUP("T.06.28",Translation,LanguageNo+1,FALSE)</f>
        <v>Staats- und Zentralbankenanleihen</v>
      </c>
      <c r="G30" s="65"/>
      <c r="H30" s="64"/>
      <c r="I30" s="79"/>
      <c r="J30" s="180" cm="1">
        <f t="array" ref="J30">IF(ISBLANK(B30),"",G30+SUMPRODUCT(--($H$6:$H$265=B30),$I$6:$I$265,$C$6:$C$265)*C30-I30)</f>
        <v>0</v>
      </c>
      <c r="K30" s="65"/>
      <c r="L30" s="180">
        <f t="shared" ref="L30" si="8">$J30+$K30</f>
        <v>0</v>
      </c>
      <c r="M30" s="180">
        <f t="shared" si="7"/>
        <v>0</v>
      </c>
      <c r="N30" s="180">
        <f>'SST Balance Sheet BVG'!F30</f>
        <v>0</v>
      </c>
    </row>
    <row r="31" spans="2:14" ht="14.25" customHeight="1" x14ac:dyDescent="0.25">
      <c r="B31" s="38">
        <f t="shared" si="0"/>
        <v>31</v>
      </c>
      <c r="C31" s="187"/>
      <c r="D31" s="381"/>
      <c r="E31" s="406"/>
      <c r="F31" s="380" t="str">
        <f>VLOOKUP("T.06.29",Translation,LanguageNo+1,FALSE)</f>
        <v>davon Schweizer Kantone und Gemeinden</v>
      </c>
      <c r="G31" s="430"/>
      <c r="H31" s="188"/>
      <c r="I31" s="188"/>
      <c r="J31" s="180"/>
      <c r="K31" s="188"/>
      <c r="L31" s="180"/>
      <c r="M31" s="180"/>
      <c r="N31" s="83"/>
    </row>
    <row r="32" spans="2:14" ht="14.25" customHeight="1" x14ac:dyDescent="0.25">
      <c r="B32" s="38">
        <f t="shared" si="0"/>
        <v>32</v>
      </c>
      <c r="C32" s="187"/>
      <c r="D32" s="381"/>
      <c r="E32" s="406"/>
      <c r="F32" s="380" t="str">
        <f>VLOOKUP("T.06.30",Translation,LanguageNo+1,FALSE)</f>
        <v>davon andere öffentliche Körperschaften</v>
      </c>
      <c r="G32" s="430"/>
      <c r="H32" s="103"/>
      <c r="I32" s="103"/>
      <c r="J32" s="180"/>
      <c r="K32" s="103"/>
      <c r="L32" s="180"/>
      <c r="M32" s="180"/>
      <c r="N32" s="83"/>
    </row>
    <row r="33" spans="2:14" ht="14.25" customHeight="1" x14ac:dyDescent="0.25">
      <c r="B33" s="38">
        <f t="shared" si="0"/>
        <v>33</v>
      </c>
      <c r="C33" s="181">
        <v>1</v>
      </c>
      <c r="D33" s="381">
        <v>101300200</v>
      </c>
      <c r="E33" s="389" t="s">
        <v>877</v>
      </c>
      <c r="F33" s="373" t="str">
        <f>VLOOKUP("T.06.31",Translation,LanguageNo+1,FALSE)</f>
        <v>Unternehmensanleihen</v>
      </c>
      <c r="G33" s="65"/>
      <c r="H33" s="64"/>
      <c r="I33" s="79"/>
      <c r="J33" s="180" cm="1">
        <f t="array" ref="J33">IF(ISBLANK(B33),"",G33+SUMPRODUCT(--($H$6:$H$265=B33),$I$6:$I$265,$C$6:$C$265)*C33-I33)</f>
        <v>0</v>
      </c>
      <c r="K33" s="65"/>
      <c r="L33" s="180">
        <f t="shared" ref="L33" si="9">$J33+$K33</f>
        <v>0</v>
      </c>
      <c r="M33" s="180">
        <f t="shared" ref="M33:M68" si="10">$N33-$L33</f>
        <v>0</v>
      </c>
      <c r="N33" s="180">
        <f>'SST Balance Sheet BVG'!F33</f>
        <v>0</v>
      </c>
    </row>
    <row r="34" spans="2:14" ht="14.25" customHeight="1" x14ac:dyDescent="0.25">
      <c r="B34" s="38">
        <f t="shared" si="0"/>
        <v>34</v>
      </c>
      <c r="C34" s="179"/>
      <c r="D34" s="381"/>
      <c r="E34" s="381"/>
      <c r="F34" s="380" t="str">
        <f>VLOOKUP("T.06.32",Translation,LanguageNo+1,FALSE)</f>
        <v>davon Banken und Effektenhändler</v>
      </c>
      <c r="G34" s="430"/>
      <c r="H34" s="37"/>
      <c r="I34" s="37"/>
      <c r="J34" s="180"/>
      <c r="K34" s="37"/>
      <c r="L34" s="180"/>
      <c r="M34" s="180"/>
      <c r="N34" s="83"/>
    </row>
    <row r="35" spans="2:14" ht="14.25" customHeight="1" x14ac:dyDescent="0.25">
      <c r="B35" s="38">
        <f t="shared" si="0"/>
        <v>35</v>
      </c>
      <c r="C35" s="181">
        <v>1</v>
      </c>
      <c r="D35" s="381">
        <v>101300300</v>
      </c>
      <c r="E35" s="389" t="s">
        <v>878</v>
      </c>
      <c r="F35" s="381" t="str">
        <f>VLOOKUP("T.06.33",Translation,LanguageNo+1,FALSE)</f>
        <v>Pfandbriefanleihen / Covered Bonds</v>
      </c>
      <c r="G35" s="65"/>
      <c r="H35" s="64"/>
      <c r="I35" s="79"/>
      <c r="J35" s="180" cm="1">
        <f t="array" ref="J35">IF(ISBLANK(B35),"",G35+SUMPRODUCT(--($H$6:$H$265=B35),$I$6:$I$265,$C$6:$C$265)*C35-I35)</f>
        <v>0</v>
      </c>
      <c r="K35" s="65"/>
      <c r="L35" s="180">
        <f t="shared" ref="L35:L37" si="11">$J35+$K35</f>
        <v>0</v>
      </c>
      <c r="M35" s="180">
        <f t="shared" si="10"/>
        <v>0</v>
      </c>
      <c r="N35" s="180">
        <f>'SST Balance Sheet BVG'!F35</f>
        <v>0</v>
      </c>
    </row>
    <row r="36" spans="2:14" ht="14.25" customHeight="1" x14ac:dyDescent="0.25">
      <c r="B36" s="38">
        <f t="shared" si="0"/>
        <v>36</v>
      </c>
      <c r="C36" s="181">
        <v>1</v>
      </c>
      <c r="D36" s="381">
        <v>101300400</v>
      </c>
      <c r="E36" s="389" t="s">
        <v>879</v>
      </c>
      <c r="F36" s="381" t="str">
        <f>VLOOKUP("T.06.34",Translation,LanguageNo+1,FALSE)</f>
        <v>Wandelanleihen</v>
      </c>
      <c r="G36" s="65"/>
      <c r="H36" s="64"/>
      <c r="I36" s="79"/>
      <c r="J36" s="180" cm="1">
        <f t="array" ref="J36">IF(ISBLANK(B36),"",G36+SUMPRODUCT(--($H$6:$H$265=B36),$I$6:$I$265,$C$6:$C$265)*C36-I36)</f>
        <v>0</v>
      </c>
      <c r="K36" s="65"/>
      <c r="L36" s="180">
        <f t="shared" si="11"/>
        <v>0</v>
      </c>
      <c r="M36" s="180">
        <f t="shared" si="10"/>
        <v>0</v>
      </c>
      <c r="N36" s="180">
        <f>'SST Balance Sheet BVG'!F36</f>
        <v>0</v>
      </c>
    </row>
    <row r="37" spans="2:14" ht="14.25" customHeight="1" x14ac:dyDescent="0.25">
      <c r="B37" s="38">
        <f t="shared" si="0"/>
        <v>37</v>
      </c>
      <c r="C37" s="181">
        <v>1</v>
      </c>
      <c r="D37" s="381">
        <v>101310000</v>
      </c>
      <c r="E37" s="381" t="s">
        <v>880</v>
      </c>
      <c r="F37" s="373" t="str">
        <f>VLOOKUP("T.06.35",Translation,LanguageNo+1,FALSE)</f>
        <v>Sonstige Anleihen (inkl. Optionsanleihen, supranationale Anleihen)</v>
      </c>
      <c r="G37" s="182"/>
      <c r="H37" s="68"/>
      <c r="I37" s="94"/>
      <c r="J37" s="180" cm="1">
        <f t="array" ref="J37">IF(ISBLANK(B37),"",G37+SUMPRODUCT(--($H$6:$H$265=B37),$I$6:$I$265,$C$6:$C$265)*C37-I37)</f>
        <v>0</v>
      </c>
      <c r="K37" s="182"/>
      <c r="L37" s="180">
        <f t="shared" si="11"/>
        <v>0</v>
      </c>
      <c r="M37" s="180">
        <f t="shared" si="10"/>
        <v>0</v>
      </c>
      <c r="N37" s="180">
        <f>'SST Balance Sheet BVG'!F37</f>
        <v>0</v>
      </c>
    </row>
    <row r="38" spans="2:14" ht="14.25" customHeight="1" x14ac:dyDescent="0.25">
      <c r="B38" s="122"/>
      <c r="C38" s="189"/>
      <c r="D38" s="70"/>
      <c r="E38" s="77"/>
      <c r="F38" s="71"/>
      <c r="G38" s="72"/>
      <c r="H38" s="72"/>
      <c r="I38" s="72"/>
      <c r="J38" s="184"/>
      <c r="K38" s="72"/>
      <c r="L38" s="184"/>
      <c r="M38" s="184"/>
      <c r="N38" s="184"/>
    </row>
    <row r="39" spans="2:14" ht="14.25" customHeight="1" x14ac:dyDescent="0.25">
      <c r="B39" s="38">
        <f t="shared" si="0"/>
        <v>39</v>
      </c>
      <c r="C39" s="179"/>
      <c r="D39" s="381">
        <v>101400000</v>
      </c>
      <c r="E39" s="389" t="s">
        <v>881</v>
      </c>
      <c r="F39" s="382" t="str">
        <f>VLOOKUP("T.06.36",Translation,LanguageNo+1,FALSE)</f>
        <v>1.1.4 Darlehen</v>
      </c>
      <c r="G39" s="103">
        <f>SUM(G40:G42)</f>
        <v>0</v>
      </c>
      <c r="H39" s="103"/>
      <c r="I39" s="103"/>
      <c r="J39" s="190">
        <f>SUM(J40:J42)</f>
        <v>0</v>
      </c>
      <c r="K39" s="103">
        <f>SUM(K40:K42)</f>
        <v>0</v>
      </c>
      <c r="L39" s="190">
        <f>SUM(L40:L42)</f>
        <v>0</v>
      </c>
      <c r="M39" s="180">
        <f t="shared" si="10"/>
        <v>0</v>
      </c>
      <c r="N39" s="180">
        <f>'SST Balance Sheet BVG'!F39</f>
        <v>0</v>
      </c>
    </row>
    <row r="40" spans="2:14" ht="14.25" customHeight="1" x14ac:dyDescent="0.25">
      <c r="B40" s="38">
        <f t="shared" si="0"/>
        <v>40</v>
      </c>
      <c r="C40" s="181">
        <v>1</v>
      </c>
      <c r="D40" s="381"/>
      <c r="E40" s="406"/>
      <c r="F40" s="373" t="str">
        <f>VLOOKUP("T.06.37",Translation,LanguageNo+1,FALSE)</f>
        <v>Nachrangige Darlehen</v>
      </c>
      <c r="G40" s="64"/>
      <c r="H40" s="36"/>
      <c r="I40" s="79"/>
      <c r="J40" s="180" cm="1">
        <f t="array" ref="J40">IF(ISBLANK(B40),"",G40+SUMPRODUCT(--($H$6:$H$265=B40),$I$6:$I$265,$C$6:$C$265)*C40-I40)</f>
        <v>0</v>
      </c>
      <c r="K40" s="65"/>
      <c r="L40" s="180">
        <f t="shared" ref="L40:L42" si="12">$J40+$K40</f>
        <v>0</v>
      </c>
      <c r="M40" s="180">
        <f t="shared" si="10"/>
        <v>0</v>
      </c>
      <c r="N40" s="180">
        <f>'SST Balance Sheet BVG'!F40</f>
        <v>0</v>
      </c>
    </row>
    <row r="41" spans="2:14" ht="14.25" customHeight="1" x14ac:dyDescent="0.25">
      <c r="B41" s="38">
        <f t="shared" si="0"/>
        <v>41</v>
      </c>
      <c r="C41" s="181">
        <v>1</v>
      </c>
      <c r="D41" s="381">
        <v>101410000</v>
      </c>
      <c r="E41" s="389" t="s">
        <v>882</v>
      </c>
      <c r="F41" s="373" t="str">
        <f>VLOOKUP("T.06.38",Translation,LanguageNo+1,FALSE)</f>
        <v>Policendarlehen</v>
      </c>
      <c r="G41" s="64"/>
      <c r="H41" s="36"/>
      <c r="I41" s="79"/>
      <c r="J41" s="180" cm="1">
        <f t="array" ref="J41">IF(ISBLANK(B41),"",G41+SUMPRODUCT(--($H$6:$H$265=B41),$I$6:$I$265,$C$6:$C$265)*C41-I41)</f>
        <v>0</v>
      </c>
      <c r="K41" s="65"/>
      <c r="L41" s="180">
        <f t="shared" si="12"/>
        <v>0</v>
      </c>
      <c r="M41" s="180">
        <f t="shared" si="10"/>
        <v>0</v>
      </c>
      <c r="N41" s="180">
        <f>'SST Balance Sheet BVG'!F41</f>
        <v>0</v>
      </c>
    </row>
    <row r="42" spans="2:14" ht="14.25" customHeight="1" x14ac:dyDescent="0.25">
      <c r="B42" s="38">
        <f t="shared" si="0"/>
        <v>42</v>
      </c>
      <c r="C42" s="181">
        <v>1</v>
      </c>
      <c r="D42" s="381"/>
      <c r="E42" s="381"/>
      <c r="F42" s="373" t="str">
        <f>VLOOKUP("T.06.39",Translation,LanguageNo+1,FALSE)</f>
        <v>Sonstige Darlehen</v>
      </c>
      <c r="G42" s="68"/>
      <c r="H42" s="111"/>
      <c r="I42" s="94"/>
      <c r="J42" s="180" cm="1">
        <f t="array" ref="J42">IF(ISBLANK(B42),"",G42+SUMPRODUCT(--($H$6:$H$265=B42),$I$6:$I$265,$C$6:$C$265)*C42-I42)</f>
        <v>0</v>
      </c>
      <c r="K42" s="182"/>
      <c r="L42" s="180">
        <f t="shared" si="12"/>
        <v>0</v>
      </c>
      <c r="M42" s="180">
        <f t="shared" si="10"/>
        <v>0</v>
      </c>
      <c r="N42" s="180">
        <f>'SST Balance Sheet BVG'!F42</f>
        <v>0</v>
      </c>
    </row>
    <row r="43" spans="2:14" ht="14.25" customHeight="1" x14ac:dyDescent="0.25">
      <c r="B43" s="122"/>
      <c r="C43" s="189"/>
      <c r="D43" s="70"/>
      <c r="E43" s="77"/>
      <c r="F43" s="96"/>
      <c r="G43" s="72"/>
      <c r="H43" s="72"/>
      <c r="I43" s="72"/>
      <c r="J43" s="184"/>
      <c r="K43" s="72"/>
      <c r="L43" s="184"/>
      <c r="M43" s="184"/>
      <c r="N43" s="184"/>
    </row>
    <row r="44" spans="2:14" ht="14.25" customHeight="1" x14ac:dyDescent="0.25">
      <c r="B44" s="38">
        <f t="shared" si="0"/>
        <v>44</v>
      </c>
      <c r="C44" s="179"/>
      <c r="D44" s="381">
        <v>101500000</v>
      </c>
      <c r="E44" s="389" t="s">
        <v>883</v>
      </c>
      <c r="F44" s="382" t="str">
        <f>VLOOKUP("T.06.40",Translation,LanguageNo+1,FALSE)</f>
        <v>1.1.5 Hypotheken</v>
      </c>
      <c r="G44" s="75">
        <f>G45+G48</f>
        <v>0</v>
      </c>
      <c r="H44" s="75"/>
      <c r="I44" s="75"/>
      <c r="J44" s="75">
        <f>J45+J48</f>
        <v>0</v>
      </c>
      <c r="K44" s="75">
        <f>K45+K48</f>
        <v>0</v>
      </c>
      <c r="L44" s="75">
        <f>L45+L48</f>
        <v>0</v>
      </c>
      <c r="M44" s="180">
        <f t="shared" si="10"/>
        <v>0</v>
      </c>
      <c r="N44" s="180">
        <f>'SST Balance Sheet BVG'!F44</f>
        <v>0</v>
      </c>
    </row>
    <row r="45" spans="2:14" ht="14.25" customHeight="1" x14ac:dyDescent="0.25">
      <c r="B45" s="38">
        <f t="shared" si="0"/>
        <v>45</v>
      </c>
      <c r="C45" s="181"/>
      <c r="D45" s="381"/>
      <c r="E45" s="383"/>
      <c r="F45" s="383" t="str">
        <f>VLOOKUP("T.06.41",Translation,LanguageNo+1,FALSE)</f>
        <v>Hypotheken bis 80 % des Verkehrswertes</v>
      </c>
      <c r="G45" s="74">
        <f>G46+G47</f>
        <v>0</v>
      </c>
      <c r="H45" s="74"/>
      <c r="I45" s="74"/>
      <c r="J45" s="75">
        <f>J46+J47</f>
        <v>0</v>
      </c>
      <c r="K45" s="74">
        <f>K46+K47</f>
        <v>0</v>
      </c>
      <c r="L45" s="75">
        <f>L46+L47</f>
        <v>0</v>
      </c>
      <c r="M45" s="180">
        <f t="shared" si="10"/>
        <v>0</v>
      </c>
      <c r="N45" s="180">
        <f>'SST Balance Sheet BVG'!F45</f>
        <v>0</v>
      </c>
    </row>
    <row r="46" spans="2:14" ht="14.25" customHeight="1" x14ac:dyDescent="0.25">
      <c r="B46" s="38">
        <f t="shared" si="0"/>
        <v>46</v>
      </c>
      <c r="C46" s="181">
        <v>1</v>
      </c>
      <c r="D46" s="381"/>
      <c r="E46" s="406"/>
      <c r="F46" s="380" t="str">
        <f>VLOOKUP("T.06.42",Translation,LanguageNo+1,FALSE)</f>
        <v>mit festen Zinssätzen</v>
      </c>
      <c r="G46" s="84"/>
      <c r="H46" s="106"/>
      <c r="I46" s="429"/>
      <c r="J46" s="83" cm="1">
        <f t="array" ref="J46">IF(ISBLANK(B46),"",G46+SUMPRODUCT(--($H$6:$H$265=B46),$I$6:$I$265,$C$6:$C$265)*C46-I46)</f>
        <v>0</v>
      </c>
      <c r="K46" s="430"/>
      <c r="L46" s="83">
        <f t="shared" ref="L46:L50" si="13">$J46+$K46</f>
        <v>0</v>
      </c>
      <c r="M46" s="434">
        <f t="shared" si="10"/>
        <v>0</v>
      </c>
      <c r="N46" s="83">
        <f>'SST Balance Sheet BVG'!F46</f>
        <v>0</v>
      </c>
    </row>
    <row r="47" spans="2:14" ht="14.25" customHeight="1" x14ac:dyDescent="0.25">
      <c r="B47" s="38">
        <f t="shared" si="0"/>
        <v>47</v>
      </c>
      <c r="C47" s="181">
        <v>1</v>
      </c>
      <c r="D47" s="381"/>
      <c r="E47" s="406"/>
      <c r="F47" s="384" t="str">
        <f>VLOOKUP("T.06.43",Translation,LanguageNo+1,FALSE)</f>
        <v>mit variablen Zinssätzen</v>
      </c>
      <c r="G47" s="84"/>
      <c r="H47" s="106"/>
      <c r="I47" s="429"/>
      <c r="J47" s="83" cm="1">
        <f t="array" ref="J47">IF(ISBLANK(B47),"",G47+SUMPRODUCT(--($H$6:$H$265=B47),$I$6:$I$265,$C$6:$C$265)*C47-I47)</f>
        <v>0</v>
      </c>
      <c r="K47" s="435"/>
      <c r="L47" s="83">
        <f t="shared" si="13"/>
        <v>0</v>
      </c>
      <c r="M47" s="434">
        <f t="shared" si="10"/>
        <v>0</v>
      </c>
      <c r="N47" s="83">
        <f>'SST Balance Sheet BVG'!F47</f>
        <v>0</v>
      </c>
    </row>
    <row r="48" spans="2:14" ht="14.25" customHeight="1" x14ac:dyDescent="0.25">
      <c r="B48" s="38">
        <f t="shared" si="0"/>
        <v>48</v>
      </c>
      <c r="C48" s="181"/>
      <c r="D48" s="383"/>
      <c r="E48" s="406"/>
      <c r="F48" s="383" t="str">
        <f>VLOOKUP("T.06.44",Translation,LanguageNo+1,FALSE)</f>
        <v>Hypotheken mehr als 80 % des Verkehrswertes</v>
      </c>
      <c r="G48" s="98">
        <f>G49+G50</f>
        <v>0</v>
      </c>
      <c r="H48" s="98"/>
      <c r="I48" s="98"/>
      <c r="J48" s="75">
        <f>J49+J50</f>
        <v>0</v>
      </c>
      <c r="K48" s="74">
        <f>K49+K50</f>
        <v>0</v>
      </c>
      <c r="L48" s="75">
        <f>L49+L50</f>
        <v>0</v>
      </c>
      <c r="M48" s="180">
        <f t="shared" si="10"/>
        <v>0</v>
      </c>
      <c r="N48" s="180">
        <f>'SST Balance Sheet BVG'!F48</f>
        <v>0</v>
      </c>
    </row>
    <row r="49" spans="2:14" ht="14.25" customHeight="1" x14ac:dyDescent="0.25">
      <c r="B49" s="38">
        <f t="shared" si="0"/>
        <v>49</v>
      </c>
      <c r="C49" s="181">
        <v>1</v>
      </c>
      <c r="D49" s="381"/>
      <c r="E49" s="383"/>
      <c r="F49" s="380" t="str">
        <f>VLOOKUP("T.06.45",Translation,LanguageNo+1,FALSE)</f>
        <v>mit festen Zinssätzen</v>
      </c>
      <c r="G49" s="84"/>
      <c r="H49" s="106"/>
      <c r="I49" s="429"/>
      <c r="J49" s="83" cm="1">
        <f t="array" ref="J49">IF(ISBLANK(B49),"",G49+SUMPRODUCT(--($H$6:$H$265=B49),$I$6:$I$265,$C$6:$C$265)*C49-I49)</f>
        <v>0</v>
      </c>
      <c r="K49" s="430"/>
      <c r="L49" s="83">
        <f t="shared" si="13"/>
        <v>0</v>
      </c>
      <c r="M49" s="434">
        <f t="shared" si="10"/>
        <v>0</v>
      </c>
      <c r="N49" s="83">
        <f>'SST Balance Sheet BVG'!F49</f>
        <v>0</v>
      </c>
    </row>
    <row r="50" spans="2:14" ht="14.25" customHeight="1" x14ac:dyDescent="0.25">
      <c r="B50" s="38">
        <f t="shared" si="0"/>
        <v>50</v>
      </c>
      <c r="C50" s="181">
        <v>1</v>
      </c>
      <c r="D50" s="383"/>
      <c r="E50" s="406"/>
      <c r="F50" s="380" t="str">
        <f>VLOOKUP("T.06.46",Translation,LanguageNo+1,FALSE)</f>
        <v>mit variablen Zinssätzen</v>
      </c>
      <c r="G50" s="428"/>
      <c r="H50" s="436"/>
      <c r="I50" s="437"/>
      <c r="J50" s="83" cm="1">
        <f t="array" ref="J50">IF(ISBLANK(B50),"",G50+SUMPRODUCT(--($H$6:$H$265=B50),$I$6:$I$265,$C$6:$C$265)*C50-I50)</f>
        <v>0</v>
      </c>
      <c r="K50" s="435"/>
      <c r="L50" s="83">
        <f t="shared" si="13"/>
        <v>0</v>
      </c>
      <c r="M50" s="434">
        <f t="shared" si="10"/>
        <v>0</v>
      </c>
      <c r="N50" s="83">
        <f>'SST Balance Sheet BVG'!F50</f>
        <v>0</v>
      </c>
    </row>
    <row r="51" spans="2:14" ht="14.25" customHeight="1" x14ac:dyDescent="0.25">
      <c r="B51" s="70"/>
      <c r="C51" s="183"/>
      <c r="D51" s="70"/>
      <c r="E51" s="70"/>
      <c r="F51" s="99"/>
      <c r="G51" s="100"/>
      <c r="H51" s="100"/>
      <c r="I51" s="100"/>
      <c r="J51" s="184"/>
      <c r="K51" s="100"/>
      <c r="L51" s="184"/>
      <c r="M51" s="184"/>
      <c r="N51" s="184"/>
    </row>
    <row r="52" spans="2:14" ht="14.25" customHeight="1" x14ac:dyDescent="0.25">
      <c r="B52" s="38">
        <f t="shared" si="0"/>
        <v>52</v>
      </c>
      <c r="C52" s="185"/>
      <c r="D52" s="383">
        <v>101600000</v>
      </c>
      <c r="E52" s="389" t="s">
        <v>884</v>
      </c>
      <c r="F52" s="385" t="str">
        <f>VLOOKUP("T.06.47",Translation,LanguageNo+1,FALSE)</f>
        <v>1.1.6 Aktien</v>
      </c>
      <c r="G52" s="74">
        <f>SUM(G53:G55)</f>
        <v>0</v>
      </c>
      <c r="H52" s="74"/>
      <c r="I52" s="74"/>
      <c r="J52" s="75">
        <f>SUM(J53:J55)</f>
        <v>0</v>
      </c>
      <c r="K52" s="74">
        <f>SUM(K53:K55)</f>
        <v>0</v>
      </c>
      <c r="L52" s="75">
        <f>SUM(L53:L55)</f>
        <v>0</v>
      </c>
      <c r="M52" s="180">
        <f t="shared" si="10"/>
        <v>0</v>
      </c>
      <c r="N52" s="180">
        <f>'SST Balance Sheet BVG'!F52</f>
        <v>0</v>
      </c>
    </row>
    <row r="53" spans="2:14" ht="14.25" customHeight="1" x14ac:dyDescent="0.25">
      <c r="B53" s="38">
        <f t="shared" si="0"/>
        <v>53</v>
      </c>
      <c r="C53" s="181">
        <v>1</v>
      </c>
      <c r="D53" s="381">
        <v>101600100</v>
      </c>
      <c r="E53" s="389" t="s">
        <v>885</v>
      </c>
      <c r="F53" s="383" t="str">
        <f>VLOOKUP("T.06.48",Translation,LanguageNo+1,FALSE)</f>
        <v>Aktien und ähnliche Wertschriften</v>
      </c>
      <c r="G53" s="191"/>
      <c r="H53" s="104"/>
      <c r="I53" s="105"/>
      <c r="J53" s="180" cm="1">
        <f t="array" ref="J53">IF(ISBLANK(B53),"",G53+SUMPRODUCT(--($H$6:$H$265=B53),$I$6:$I$265,$C$6:$C$265)*C53-I53)</f>
        <v>0</v>
      </c>
      <c r="K53" s="65"/>
      <c r="L53" s="180">
        <f t="shared" ref="L53:L55" si="14">$J53+$K53</f>
        <v>0</v>
      </c>
      <c r="M53" s="180">
        <f t="shared" si="10"/>
        <v>0</v>
      </c>
      <c r="N53" s="180">
        <f>'SST Balance Sheet BVG'!F53</f>
        <v>0</v>
      </c>
    </row>
    <row r="54" spans="2:14" ht="14.25" customHeight="1" x14ac:dyDescent="0.25">
      <c r="B54" s="38">
        <f t="shared" si="0"/>
        <v>54</v>
      </c>
      <c r="C54" s="181">
        <v>1</v>
      </c>
      <c r="D54" s="381">
        <v>101600200</v>
      </c>
      <c r="E54" s="389" t="s">
        <v>886</v>
      </c>
      <c r="F54" s="383" t="str">
        <f>VLOOKUP("T.06.49",Translation,LanguageNo+1,FALSE)</f>
        <v>Aktien von Gruppengesellschaften</v>
      </c>
      <c r="G54" s="64"/>
      <c r="H54" s="36"/>
      <c r="I54" s="79"/>
      <c r="J54" s="180" cm="1">
        <f t="array" ref="J54">IF(ISBLANK(B54),"",G54+SUMPRODUCT(--($H$6:$H$265=B54),$I$6:$I$265,$C$6:$C$265)*C54-I54)</f>
        <v>0</v>
      </c>
      <c r="K54" s="65"/>
      <c r="L54" s="180">
        <f t="shared" si="14"/>
        <v>0</v>
      </c>
      <c r="M54" s="180">
        <f t="shared" si="10"/>
        <v>0</v>
      </c>
      <c r="N54" s="180">
        <f>'SST Balance Sheet BVG'!F54</f>
        <v>0</v>
      </c>
    </row>
    <row r="55" spans="2:14" ht="14.25" customHeight="1" x14ac:dyDescent="0.25">
      <c r="B55" s="38">
        <f t="shared" si="0"/>
        <v>55</v>
      </c>
      <c r="C55" s="181">
        <v>1</v>
      </c>
      <c r="D55" s="381">
        <v>101600300</v>
      </c>
      <c r="E55" s="389" t="s">
        <v>887</v>
      </c>
      <c r="F55" s="381" t="str">
        <f>VLOOKUP("T.06.50",Translation,LanguageNo+1,FALSE)</f>
        <v>Anlagen an Immobiliengesellschaften</v>
      </c>
      <c r="G55" s="68"/>
      <c r="H55" s="111"/>
      <c r="I55" s="94"/>
      <c r="J55" s="180" cm="1">
        <f t="array" ref="J55">IF(ISBLANK(B55),"",G55+SUMPRODUCT(--($H$6:$H$265=B55),$I$6:$I$265,$C$6:$C$265)*C55-I55)</f>
        <v>0</v>
      </c>
      <c r="K55" s="182"/>
      <c r="L55" s="180">
        <f t="shared" si="14"/>
        <v>0</v>
      </c>
      <c r="M55" s="180">
        <f t="shared" si="10"/>
        <v>0</v>
      </c>
      <c r="N55" s="180">
        <f>'SST Balance Sheet BVG'!F55</f>
        <v>0</v>
      </c>
    </row>
    <row r="56" spans="2:14" ht="14.25" customHeight="1" x14ac:dyDescent="0.25">
      <c r="B56" s="184"/>
      <c r="C56" s="183"/>
      <c r="D56" s="70"/>
      <c r="E56" s="70"/>
      <c r="F56" s="71"/>
      <c r="G56" s="72"/>
      <c r="H56" s="72"/>
      <c r="I56" s="72"/>
      <c r="J56" s="184"/>
      <c r="K56" s="72"/>
      <c r="L56" s="184"/>
      <c r="M56" s="184"/>
      <c r="N56" s="184"/>
    </row>
    <row r="57" spans="2:14" ht="14.25" customHeight="1" x14ac:dyDescent="0.25">
      <c r="B57" s="38">
        <f t="shared" si="0"/>
        <v>57</v>
      </c>
      <c r="C57" s="179"/>
      <c r="D57" s="381">
        <v>101700000</v>
      </c>
      <c r="E57" s="389" t="s">
        <v>889</v>
      </c>
      <c r="F57" s="386" t="str">
        <f>VLOOKUP("T.06.51",Translation,LanguageNo+1,FALSE)</f>
        <v>1.1.7 Übrige Kapitalanlagen</v>
      </c>
      <c r="G57" s="75">
        <f>G58+G66+G76+G80</f>
        <v>0</v>
      </c>
      <c r="H57" s="75"/>
      <c r="I57" s="75"/>
      <c r="J57" s="75">
        <f>J58+J66+J76+J80</f>
        <v>0</v>
      </c>
      <c r="K57" s="75">
        <f>K58+K66+K76+K80</f>
        <v>0</v>
      </c>
      <c r="L57" s="75">
        <f>L58+L66+L76+L80</f>
        <v>0</v>
      </c>
      <c r="M57" s="180">
        <f t="shared" si="10"/>
        <v>0</v>
      </c>
      <c r="N57" s="180">
        <f>'SST Balance Sheet BVG'!F57</f>
        <v>0</v>
      </c>
    </row>
    <row r="58" spans="2:14" ht="14.25" customHeight="1" x14ac:dyDescent="0.25">
      <c r="B58" s="38">
        <f t="shared" si="0"/>
        <v>58</v>
      </c>
      <c r="C58" s="179"/>
      <c r="D58" s="381">
        <v>101710000</v>
      </c>
      <c r="E58" s="389" t="s">
        <v>890</v>
      </c>
      <c r="F58" s="385" t="str">
        <f>VLOOKUP("T.06.52",Translation,LanguageNo+1,FALSE)</f>
        <v>Kollektive Kapitalanlagen</v>
      </c>
      <c r="G58" s="74">
        <f>SUM(G59:G64)</f>
        <v>0</v>
      </c>
      <c r="H58" s="74"/>
      <c r="I58" s="74"/>
      <c r="J58" s="75">
        <f>SUM(J59:J64)</f>
        <v>0</v>
      </c>
      <c r="K58" s="74">
        <f>SUM(K59:K64)</f>
        <v>0</v>
      </c>
      <c r="L58" s="75">
        <f>SUM(L59:L64)</f>
        <v>0</v>
      </c>
      <c r="M58" s="180">
        <f t="shared" si="10"/>
        <v>0</v>
      </c>
      <c r="N58" s="180">
        <f>'SST Balance Sheet BVG'!F58</f>
        <v>0</v>
      </c>
    </row>
    <row r="59" spans="2:14" ht="14.25" customHeight="1" x14ac:dyDescent="0.25">
      <c r="B59" s="38">
        <f t="shared" si="0"/>
        <v>59</v>
      </c>
      <c r="C59" s="181">
        <v>1</v>
      </c>
      <c r="D59" s="381">
        <v>101710100</v>
      </c>
      <c r="E59" s="389" t="s">
        <v>891</v>
      </c>
      <c r="F59" s="373" t="str">
        <f>VLOOKUP("T.06.53",Translation,LanguageNo+1,FALSE)</f>
        <v>Anlagefonds: Immobilien</v>
      </c>
      <c r="G59" s="64"/>
      <c r="H59" s="36"/>
      <c r="I59" s="79"/>
      <c r="J59" s="180" cm="1">
        <f t="array" ref="J59">IF(ISBLANK(B59),"",G59+SUMPRODUCT(--($H$6:$H$265=B59),$I$6:$I$265,$C$6:$C$265)*C59-I59)</f>
        <v>0</v>
      </c>
      <c r="K59" s="65"/>
      <c r="L59" s="180">
        <f t="shared" ref="L59:L64" si="15">$J59+$K59</f>
        <v>0</v>
      </c>
      <c r="M59" s="180">
        <f t="shared" si="10"/>
        <v>0</v>
      </c>
      <c r="N59" s="180">
        <f>'SST Balance Sheet BVG'!F59</f>
        <v>0</v>
      </c>
    </row>
    <row r="60" spans="2:14" ht="14.25" customHeight="1" x14ac:dyDescent="0.25">
      <c r="B60" s="38">
        <f t="shared" si="0"/>
        <v>60</v>
      </c>
      <c r="C60" s="181">
        <v>1</v>
      </c>
      <c r="D60" s="381">
        <v>101710200</v>
      </c>
      <c r="E60" s="389" t="s">
        <v>892</v>
      </c>
      <c r="F60" s="373" t="str">
        <f>VLOOKUP("T.06.54",Translation,LanguageNo+1,FALSE)</f>
        <v>Anlagefonds: Aktien</v>
      </c>
      <c r="G60" s="64"/>
      <c r="H60" s="36"/>
      <c r="I60" s="79"/>
      <c r="J60" s="180" cm="1">
        <f t="array" ref="J60">IF(ISBLANK(B60),"",G60+SUMPRODUCT(--($H$6:$H$265=B60),$I$6:$I$265,$C$6:$C$265)*C60-I60)</f>
        <v>0</v>
      </c>
      <c r="K60" s="65"/>
      <c r="L60" s="180">
        <f t="shared" si="15"/>
        <v>0</v>
      </c>
      <c r="M60" s="180">
        <f t="shared" si="10"/>
        <v>0</v>
      </c>
      <c r="N60" s="180">
        <f>'SST Balance Sheet BVG'!F60</f>
        <v>0</v>
      </c>
    </row>
    <row r="61" spans="2:14" ht="14.25" customHeight="1" x14ac:dyDescent="0.25">
      <c r="B61" s="38">
        <f t="shared" si="0"/>
        <v>61</v>
      </c>
      <c r="C61" s="181">
        <v>1</v>
      </c>
      <c r="D61" s="381">
        <v>101710300</v>
      </c>
      <c r="E61" s="389" t="s">
        <v>893</v>
      </c>
      <c r="F61" s="373" t="str">
        <f>VLOOKUP("T.06.55",Translation,LanguageNo+1,FALSE)</f>
        <v>Anlagefonds: festverzinsliche Wertpapiere</v>
      </c>
      <c r="G61" s="64"/>
      <c r="H61" s="36"/>
      <c r="I61" s="79"/>
      <c r="J61" s="180" cm="1">
        <f t="array" ref="J61">IF(ISBLANK(B61),"",G61+SUMPRODUCT(--($H$6:$H$265=B61),$I$6:$I$265,$C$6:$C$265)*C61-I61)</f>
        <v>0</v>
      </c>
      <c r="K61" s="65"/>
      <c r="L61" s="180">
        <f t="shared" si="15"/>
        <v>0</v>
      </c>
      <c r="M61" s="180">
        <f t="shared" si="10"/>
        <v>0</v>
      </c>
      <c r="N61" s="180">
        <f>'SST Balance Sheet BVG'!F61</f>
        <v>0</v>
      </c>
    </row>
    <row r="62" spans="2:14" ht="14.25" customHeight="1" x14ac:dyDescent="0.25">
      <c r="B62" s="38">
        <f t="shared" si="0"/>
        <v>62</v>
      </c>
      <c r="C62" s="181">
        <v>1</v>
      </c>
      <c r="D62" s="381">
        <v>101710400</v>
      </c>
      <c r="E62" s="389" t="s">
        <v>904</v>
      </c>
      <c r="F62" s="373" t="str">
        <f>VLOOKUP("T.06.56",Translation,LanguageNo+1,FALSE)</f>
        <v>Anlagefonds: Geldmarkt</v>
      </c>
      <c r="G62" s="64"/>
      <c r="H62" s="36"/>
      <c r="I62" s="79"/>
      <c r="J62" s="180" cm="1">
        <f t="array" ref="J62">IF(ISBLANK(B62),"",G62+SUMPRODUCT(--($H$6:$H$265=B62),$I$6:$I$265,$C$6:$C$265)*C62-I62)</f>
        <v>0</v>
      </c>
      <c r="K62" s="65"/>
      <c r="L62" s="180">
        <f t="shared" si="15"/>
        <v>0</v>
      </c>
      <c r="M62" s="180">
        <f t="shared" si="10"/>
        <v>0</v>
      </c>
      <c r="N62" s="180">
        <f>'SST Balance Sheet BVG'!F62</f>
        <v>0</v>
      </c>
    </row>
    <row r="63" spans="2:14" ht="14.25" customHeight="1" x14ac:dyDescent="0.25">
      <c r="B63" s="38">
        <f t="shared" si="0"/>
        <v>63</v>
      </c>
      <c r="C63" s="181">
        <v>1</v>
      </c>
      <c r="D63" s="381">
        <v>101710500</v>
      </c>
      <c r="E63" s="389" t="s">
        <v>905</v>
      </c>
      <c r="F63" s="373" t="str">
        <f>VLOOKUP("T.06.57",Translation,LanguageNo+1,FALSE)</f>
        <v>Anlagefonds: Übrige</v>
      </c>
      <c r="G63" s="64"/>
      <c r="H63" s="36"/>
      <c r="I63" s="79"/>
      <c r="J63" s="180" cm="1">
        <f t="array" ref="J63">IF(ISBLANK(B63),"",G63+SUMPRODUCT(--($H$6:$H$265=B63),$I$6:$I$265,$C$6:$C$265)*C63-I63)</f>
        <v>0</v>
      </c>
      <c r="K63" s="65"/>
      <c r="L63" s="180">
        <f t="shared" si="15"/>
        <v>0</v>
      </c>
      <c r="M63" s="180">
        <f t="shared" si="10"/>
        <v>0</v>
      </c>
      <c r="N63" s="180">
        <f>'SST Balance Sheet BVG'!F63</f>
        <v>0</v>
      </c>
    </row>
    <row r="64" spans="2:14" ht="14.25" customHeight="1" x14ac:dyDescent="0.25">
      <c r="B64" s="38">
        <f t="shared" si="0"/>
        <v>64</v>
      </c>
      <c r="C64" s="181">
        <v>1</v>
      </c>
      <c r="D64" s="381">
        <v>101710600</v>
      </c>
      <c r="E64" s="389" t="s">
        <v>906</v>
      </c>
      <c r="F64" s="373" t="str">
        <f>VLOOKUP("T.06.58",Translation,LanguageNo+1,FALSE)</f>
        <v>Anlagefonds: Gemischt</v>
      </c>
      <c r="G64" s="68"/>
      <c r="H64" s="111"/>
      <c r="I64" s="94"/>
      <c r="J64" s="180" cm="1">
        <f t="array" ref="J64">IF(ISBLANK(B64),"",G64+SUMPRODUCT(--($H$6:$H$265=B64),$I$6:$I$265,$C$6:$C$265)*C64-I64)</f>
        <v>0</v>
      </c>
      <c r="K64" s="182"/>
      <c r="L64" s="180">
        <f t="shared" si="15"/>
        <v>0</v>
      </c>
      <c r="M64" s="180">
        <f t="shared" si="10"/>
        <v>0</v>
      </c>
      <c r="N64" s="180">
        <f>'SST Balance Sheet BVG'!F64</f>
        <v>0</v>
      </c>
    </row>
    <row r="65" spans="2:14" ht="14.25" customHeight="1" x14ac:dyDescent="0.25">
      <c r="B65" s="70"/>
      <c r="C65" s="183"/>
      <c r="D65" s="70"/>
      <c r="E65" s="70"/>
      <c r="F65" s="71"/>
      <c r="G65" s="72"/>
      <c r="H65" s="72"/>
      <c r="I65" s="72"/>
      <c r="J65" s="184"/>
      <c r="K65" s="72"/>
      <c r="L65" s="184"/>
      <c r="M65" s="184"/>
      <c r="N65" s="184"/>
    </row>
    <row r="66" spans="2:14" ht="14.25" customHeight="1" x14ac:dyDescent="0.25">
      <c r="B66" s="38">
        <f t="shared" si="0"/>
        <v>66</v>
      </c>
      <c r="C66" s="179"/>
      <c r="D66" s="381">
        <v>101720000</v>
      </c>
      <c r="E66" s="389" t="s">
        <v>909</v>
      </c>
      <c r="F66" s="382" t="str">
        <f>VLOOKUP("T.06.59",Translation,LanguageNo+1,FALSE)</f>
        <v>Alternative Kapitalanlagen</v>
      </c>
      <c r="G66" s="74">
        <f>SUM(G67:G68)+G71</f>
        <v>0</v>
      </c>
      <c r="H66" s="74"/>
      <c r="I66" s="74"/>
      <c r="J66" s="75">
        <f>SUM(J67:J68)+J71</f>
        <v>0</v>
      </c>
      <c r="K66" s="74">
        <f>SUM(K67:K68)+K71</f>
        <v>0</v>
      </c>
      <c r="L66" s="75">
        <f>SUM(L67:L68)+L71</f>
        <v>0</v>
      </c>
      <c r="M66" s="180">
        <f t="shared" si="10"/>
        <v>0</v>
      </c>
      <c r="N66" s="180">
        <f>'SST Balance Sheet BVG'!F66</f>
        <v>0</v>
      </c>
    </row>
    <row r="67" spans="2:14" ht="14.25" customHeight="1" x14ac:dyDescent="0.25">
      <c r="B67" s="38">
        <f t="shared" si="0"/>
        <v>67</v>
      </c>
      <c r="C67" s="181">
        <v>1</v>
      </c>
      <c r="D67" s="381">
        <v>101721000</v>
      </c>
      <c r="E67" s="389" t="s">
        <v>910</v>
      </c>
      <c r="F67" s="373" t="str">
        <f>VLOOKUP("T.06.60",Translation,LanguageNo+1,FALSE)</f>
        <v>Hedgefonds</v>
      </c>
      <c r="G67" s="65"/>
      <c r="H67" s="65"/>
      <c r="I67" s="65"/>
      <c r="J67" s="180" cm="1">
        <f t="array" ref="J67">IF(ISBLANK(B67),"",G67+SUMPRODUCT(--($H$6:$H$265=B67),$I$6:$I$265,$C$6:$C$265)*C67-I67)</f>
        <v>0</v>
      </c>
      <c r="K67" s="65"/>
      <c r="L67" s="180">
        <f t="shared" ref="L67:L68" si="16">$J67+$K67</f>
        <v>0</v>
      </c>
      <c r="M67" s="180">
        <f t="shared" si="10"/>
        <v>0</v>
      </c>
      <c r="N67" s="180">
        <f>'SST Balance Sheet BVG'!F67</f>
        <v>0</v>
      </c>
    </row>
    <row r="68" spans="2:14" ht="14.25" customHeight="1" x14ac:dyDescent="0.25">
      <c r="B68" s="38">
        <f t="shared" si="0"/>
        <v>68</v>
      </c>
      <c r="C68" s="181">
        <v>1</v>
      </c>
      <c r="D68" s="381">
        <v>101722000</v>
      </c>
      <c r="E68" s="389" t="s">
        <v>911</v>
      </c>
      <c r="F68" s="379" t="str">
        <f>VLOOKUP("T.06.61",Translation,LanguageNo+1,FALSE)</f>
        <v>Private Equity</v>
      </c>
      <c r="G68" s="65"/>
      <c r="H68" s="65"/>
      <c r="I68" s="65"/>
      <c r="J68" s="180" cm="1">
        <f t="array" ref="J68">IF(ISBLANK(B68),"",G68+SUMPRODUCT(--($H$6:$H$265=B68),$I$6:$I$265,$C$6:$C$265)*C68-I68)</f>
        <v>0</v>
      </c>
      <c r="K68" s="65"/>
      <c r="L68" s="180">
        <f t="shared" si="16"/>
        <v>0</v>
      </c>
      <c r="M68" s="180">
        <f t="shared" si="10"/>
        <v>0</v>
      </c>
      <c r="N68" s="180">
        <f>'SST Balance Sheet BVG'!F68</f>
        <v>0</v>
      </c>
    </row>
    <row r="69" spans="2:14" ht="14.25" customHeight="1" x14ac:dyDescent="0.25">
      <c r="B69" s="38">
        <f t="shared" si="0"/>
        <v>69</v>
      </c>
      <c r="C69" s="179"/>
      <c r="D69" s="381">
        <v>101722300</v>
      </c>
      <c r="E69" s="401"/>
      <c r="F69" s="387" t="str">
        <f>VLOOKUP("T.06.62",Translation,LanguageNo+1,FALSE)</f>
        <v>davon Partizipationen (Anteil &lt; 20%)</v>
      </c>
      <c r="G69" s="438"/>
      <c r="H69" s="188"/>
      <c r="I69" s="188"/>
      <c r="J69" s="180"/>
      <c r="K69" s="188"/>
      <c r="L69" s="180"/>
      <c r="M69" s="180"/>
      <c r="N69" s="83"/>
    </row>
    <row r="70" spans="2:14" ht="14.25" customHeight="1" x14ac:dyDescent="0.25">
      <c r="B70" s="184"/>
      <c r="C70" s="183"/>
      <c r="D70" s="271"/>
      <c r="E70" s="271"/>
      <c r="F70" s="102"/>
      <c r="G70" s="100"/>
      <c r="H70" s="100"/>
      <c r="I70" s="100"/>
      <c r="J70" s="184"/>
      <c r="K70" s="100"/>
      <c r="L70" s="184"/>
      <c r="M70" s="184"/>
      <c r="N70" s="184"/>
    </row>
    <row r="71" spans="2:14" ht="14.25" customHeight="1" x14ac:dyDescent="0.25">
      <c r="B71" s="38">
        <f t="shared" si="0"/>
        <v>71</v>
      </c>
      <c r="C71" s="181"/>
      <c r="D71" s="381">
        <v>101723000</v>
      </c>
      <c r="E71" s="408"/>
      <c r="F71" s="381" t="str">
        <f>VLOOKUP("T.06.63",Translation,LanguageNo+1,FALSE)</f>
        <v>Andere Alternative Kapitalanlagen</v>
      </c>
      <c r="G71" s="103">
        <f>SUM(G72:G74)</f>
        <v>0</v>
      </c>
      <c r="H71" s="103"/>
      <c r="I71" s="103"/>
      <c r="J71" s="190">
        <f>SUM(J72:J74)</f>
        <v>0</v>
      </c>
      <c r="K71" s="103">
        <f>SUM(K72:K74)</f>
        <v>0</v>
      </c>
      <c r="L71" s="190">
        <f>SUM(L72:L74)</f>
        <v>0</v>
      </c>
      <c r="M71" s="180">
        <f t="shared" ref="M71:M74" si="17">$N71-$L71</f>
        <v>0</v>
      </c>
      <c r="N71" s="180">
        <f>'SST Balance Sheet BVG'!F71</f>
        <v>0</v>
      </c>
    </row>
    <row r="72" spans="2:14" ht="14.25" customHeight="1" x14ac:dyDescent="0.25">
      <c r="B72" s="38">
        <f t="shared" si="0"/>
        <v>72</v>
      </c>
      <c r="C72" s="181">
        <v>1</v>
      </c>
      <c r="D72" s="381">
        <v>101723100</v>
      </c>
      <c r="E72" s="389" t="s">
        <v>912</v>
      </c>
      <c r="F72" s="387" t="str">
        <f>VLOOKUP("T.06.64",Translation,LanguageNo+1,FALSE)</f>
        <v>Private Debt</v>
      </c>
      <c r="G72" s="84"/>
      <c r="H72" s="106"/>
      <c r="I72" s="429"/>
      <c r="J72" s="83" cm="1">
        <f t="array" ref="J72">IF(ISBLANK(B72),"",G72+SUMPRODUCT(--($H$6:$H$265=B72),$I$6:$I$265,$C$6:$C$265)*C72-I72)</f>
        <v>0</v>
      </c>
      <c r="K72" s="430"/>
      <c r="L72" s="83">
        <f t="shared" ref="L72:L74" si="18">$J72+$K72</f>
        <v>0</v>
      </c>
      <c r="M72" s="83">
        <f t="shared" si="17"/>
        <v>0</v>
      </c>
      <c r="N72" s="83">
        <f>'SST Balance Sheet BVG'!F72</f>
        <v>0</v>
      </c>
    </row>
    <row r="73" spans="2:14" ht="14.25" customHeight="1" x14ac:dyDescent="0.25">
      <c r="B73" s="38">
        <f t="shared" ref="B73:B74" si="19">ROW(B73)</f>
        <v>73</v>
      </c>
      <c r="C73" s="181">
        <v>1</v>
      </c>
      <c r="D73" s="381">
        <v>101723200</v>
      </c>
      <c r="E73" s="389" t="s">
        <v>913</v>
      </c>
      <c r="F73" s="387" t="str">
        <f>VLOOKUP("T.06.65",Translation,LanguageNo+1,FALSE)</f>
        <v>Senior Secured Loans</v>
      </c>
      <c r="G73" s="84"/>
      <c r="H73" s="106"/>
      <c r="I73" s="429"/>
      <c r="J73" s="83" cm="1">
        <f t="array" ref="J73">IF(ISBLANK(B73),"",G73+SUMPRODUCT(--($H$6:$H$265=B73),$I$6:$I$265,$C$6:$C$265)*C73-I73)</f>
        <v>0</v>
      </c>
      <c r="K73" s="430"/>
      <c r="L73" s="83">
        <f t="shared" si="18"/>
        <v>0</v>
      </c>
      <c r="M73" s="83">
        <f t="shared" si="17"/>
        <v>0</v>
      </c>
      <c r="N73" s="83">
        <f>'SST Balance Sheet BVG'!F73</f>
        <v>0</v>
      </c>
    </row>
    <row r="74" spans="2:14" ht="14.25" customHeight="1" x14ac:dyDescent="0.25">
      <c r="B74" s="38">
        <f t="shared" si="19"/>
        <v>74</v>
      </c>
      <c r="C74" s="181">
        <v>1</v>
      </c>
      <c r="D74" s="381">
        <v>101723300</v>
      </c>
      <c r="E74" s="389" t="s">
        <v>914</v>
      </c>
      <c r="F74" s="387" t="str">
        <f>VLOOKUP("T.06.66",Translation,LanguageNo+1,FALSE)</f>
        <v>Rohstoffe</v>
      </c>
      <c r="G74" s="428"/>
      <c r="H74" s="436"/>
      <c r="I74" s="437"/>
      <c r="J74" s="83" cm="1">
        <f t="array" ref="J74">IF(ISBLANK(B74),"",G74+SUMPRODUCT(--($H$6:$H$265=B74),$I$6:$I$265,$C$6:$C$265)*C74-I74)</f>
        <v>0</v>
      </c>
      <c r="K74" s="435"/>
      <c r="L74" s="83">
        <f t="shared" si="18"/>
        <v>0</v>
      </c>
      <c r="M74" s="83">
        <f t="shared" si="17"/>
        <v>0</v>
      </c>
      <c r="N74" s="83">
        <f>'SST Balance Sheet BVG'!F74</f>
        <v>0</v>
      </c>
    </row>
    <row r="75" spans="2:14" ht="14.25" customHeight="1" x14ac:dyDescent="0.25">
      <c r="B75" s="184"/>
      <c r="C75" s="183"/>
      <c r="D75" s="70"/>
      <c r="E75" s="70"/>
      <c r="F75" s="71"/>
      <c r="G75" s="72"/>
      <c r="H75" s="72"/>
      <c r="I75" s="72"/>
      <c r="J75" s="184"/>
      <c r="K75" s="72"/>
      <c r="L75" s="184"/>
      <c r="M75" s="184"/>
      <c r="N75" s="184"/>
    </row>
    <row r="76" spans="2:14" ht="14.25" customHeight="1" x14ac:dyDescent="0.25">
      <c r="B76" s="38">
        <f t="shared" ref="B76:B78" si="20">ROW(B76)</f>
        <v>76</v>
      </c>
      <c r="C76" s="179"/>
      <c r="D76" s="381">
        <v>101730000</v>
      </c>
      <c r="E76" s="389" t="s">
        <v>915</v>
      </c>
      <c r="F76" s="382" t="str">
        <f>VLOOKUP("T.06.67",Translation,LanguageNo+1,FALSE)</f>
        <v>Strukturierte Produkte</v>
      </c>
      <c r="G76" s="103">
        <f>SUM(G77:G78)</f>
        <v>0</v>
      </c>
      <c r="H76" s="103"/>
      <c r="I76" s="103"/>
      <c r="J76" s="190">
        <f>SUM(J77:J78)</f>
        <v>0</v>
      </c>
      <c r="K76" s="103">
        <f>SUM(K77:K78)</f>
        <v>0</v>
      </c>
      <c r="L76" s="190">
        <f>SUM(L77:L78)</f>
        <v>0</v>
      </c>
      <c r="M76" s="180">
        <f t="shared" ref="M76:M78" si="21">$N76-$L76</f>
        <v>0</v>
      </c>
      <c r="N76" s="180">
        <f>'SST Balance Sheet BVG'!F76</f>
        <v>0</v>
      </c>
    </row>
    <row r="77" spans="2:14" ht="14.25" customHeight="1" x14ac:dyDescent="0.25">
      <c r="B77" s="38">
        <f t="shared" si="20"/>
        <v>77</v>
      </c>
      <c r="C77" s="181">
        <v>1</v>
      </c>
      <c r="D77" s="381">
        <v>101730200</v>
      </c>
      <c r="E77" s="408"/>
      <c r="F77" s="373" t="str">
        <f>VLOOKUP("T.06.68",Translation,LanguageNo+1,FALSE)</f>
        <v>Insurance-Linked Securities (z.B. Cat Bonds)</v>
      </c>
      <c r="G77" s="64"/>
      <c r="H77" s="36"/>
      <c r="I77" s="79"/>
      <c r="J77" s="180" cm="1">
        <f t="array" ref="J77">IF(ISBLANK(B77),"",G77+SUMPRODUCT(--($H$6:$H$265=B77),$I$6:$I$265,$C$6:$C$265)*C77-I77)</f>
        <v>0</v>
      </c>
      <c r="K77" s="65"/>
      <c r="L77" s="180">
        <f t="shared" ref="L77:L78" si="22">$J77+$K77</f>
        <v>0</v>
      </c>
      <c r="M77" s="180">
        <f t="shared" si="21"/>
        <v>0</v>
      </c>
      <c r="N77" s="180">
        <f>'SST Balance Sheet BVG'!F77</f>
        <v>0</v>
      </c>
    </row>
    <row r="78" spans="2:14" ht="14.25" customHeight="1" x14ac:dyDescent="0.25">
      <c r="B78" s="38">
        <f t="shared" si="20"/>
        <v>78</v>
      </c>
      <c r="C78" s="181">
        <v>1</v>
      </c>
      <c r="D78" s="381">
        <v>101730300</v>
      </c>
      <c r="E78" s="401"/>
      <c r="F78" s="373" t="str">
        <f>VLOOKUP("T.06.69",Translation,LanguageNo+1,FALSE)</f>
        <v>Andere strukturierte Produkte</v>
      </c>
      <c r="G78" s="68"/>
      <c r="H78" s="111"/>
      <c r="I78" s="94"/>
      <c r="J78" s="180" cm="1">
        <f t="array" ref="J78">IF(ISBLANK(B78),"",G78+SUMPRODUCT(--($H$6:$H$265=B78),$I$6:$I$265,$C$6:$C$265)*C78-I78)</f>
        <v>0</v>
      </c>
      <c r="K78" s="182"/>
      <c r="L78" s="180">
        <f t="shared" si="22"/>
        <v>0</v>
      </c>
      <c r="M78" s="180">
        <f t="shared" si="21"/>
        <v>0</v>
      </c>
      <c r="N78" s="180">
        <f>'SST Balance Sheet BVG'!F78</f>
        <v>0</v>
      </c>
    </row>
    <row r="79" spans="2:14" ht="14.25" customHeight="1" x14ac:dyDescent="0.25">
      <c r="B79" s="70"/>
      <c r="C79" s="183"/>
      <c r="D79" s="70"/>
      <c r="E79" s="70"/>
      <c r="F79" s="69"/>
      <c r="G79" s="72"/>
      <c r="H79" s="72"/>
      <c r="I79" s="72"/>
      <c r="J79" s="184"/>
      <c r="K79" s="72"/>
      <c r="L79" s="184"/>
      <c r="M79" s="184"/>
      <c r="N79" s="184"/>
    </row>
    <row r="80" spans="2:14" ht="14.25" customHeight="1" x14ac:dyDescent="0.25">
      <c r="B80" s="38">
        <f t="shared" ref="B80:B86" si="23">ROW(B80)</f>
        <v>80</v>
      </c>
      <c r="C80" s="179"/>
      <c r="D80" s="381">
        <v>101740000</v>
      </c>
      <c r="E80" s="389" t="s">
        <v>919</v>
      </c>
      <c r="F80" s="385" t="str">
        <f>VLOOKUP("T.06.70",Translation,LanguageNo+1,FALSE)</f>
        <v>Sonstige Kapitalanlagen</v>
      </c>
      <c r="G80" s="75">
        <f>G81+G86</f>
        <v>0</v>
      </c>
      <c r="H80" s="75"/>
      <c r="I80" s="75"/>
      <c r="J80" s="75">
        <f>J81+J86</f>
        <v>0</v>
      </c>
      <c r="K80" s="75">
        <f>K81+K86</f>
        <v>0</v>
      </c>
      <c r="L80" s="75">
        <f>L81+L86</f>
        <v>0</v>
      </c>
      <c r="M80" s="180">
        <f t="shared" ref="M80:M86" si="24">$N80-$L80</f>
        <v>0</v>
      </c>
      <c r="N80" s="180">
        <f>'SST Balance Sheet BVG'!F80</f>
        <v>0</v>
      </c>
    </row>
    <row r="81" spans="2:14" ht="14.25" customHeight="1" x14ac:dyDescent="0.25">
      <c r="B81" s="38">
        <f t="shared" si="23"/>
        <v>81</v>
      </c>
      <c r="C81" s="187"/>
      <c r="D81" s="381">
        <v>101741000</v>
      </c>
      <c r="E81" s="389" t="s">
        <v>920</v>
      </c>
      <c r="F81" s="373" t="str">
        <f>VLOOKUP("T.06.71",Translation,LanguageNo+1,FALSE)</f>
        <v>Verbriefte Forderungen</v>
      </c>
      <c r="G81" s="103">
        <f>SUM(G82:G85)</f>
        <v>0</v>
      </c>
      <c r="H81" s="103"/>
      <c r="I81" s="103"/>
      <c r="J81" s="190">
        <f>SUM(J82:J85)</f>
        <v>0</v>
      </c>
      <c r="K81" s="103">
        <f>SUM(K82:K85)</f>
        <v>0</v>
      </c>
      <c r="L81" s="190">
        <f>SUM(L82:L85)</f>
        <v>0</v>
      </c>
      <c r="M81" s="180">
        <f t="shared" si="24"/>
        <v>0</v>
      </c>
      <c r="N81" s="180">
        <f>'SST Balance Sheet BVG'!F81</f>
        <v>0</v>
      </c>
    </row>
    <row r="82" spans="2:14" ht="14.25" customHeight="1" x14ac:dyDescent="0.25">
      <c r="B82" s="38">
        <f t="shared" si="23"/>
        <v>82</v>
      </c>
      <c r="C82" s="181">
        <v>1</v>
      </c>
      <c r="D82" s="381">
        <v>101741100</v>
      </c>
      <c r="E82" s="389" t="s">
        <v>921</v>
      </c>
      <c r="F82" s="380" t="str">
        <f>VLOOKUP("T.06.72",Translation,LanguageNo+1,FALSE)</f>
        <v>Asset Backed Securities (ABS)</v>
      </c>
      <c r="G82" s="84"/>
      <c r="H82" s="106"/>
      <c r="I82" s="429"/>
      <c r="J82" s="83" cm="1">
        <f t="array" ref="J82">IF(ISBLANK(B82),"",G82+SUMPRODUCT(--($H$6:$H$265=B82),$I$6:$I$265,$C$6:$C$265)*C82-I82)</f>
        <v>0</v>
      </c>
      <c r="K82" s="430"/>
      <c r="L82" s="83">
        <f>$J82+$K82</f>
        <v>0</v>
      </c>
      <c r="M82" s="83">
        <f t="shared" si="24"/>
        <v>0</v>
      </c>
      <c r="N82" s="83">
        <f>'SST Balance Sheet BVG'!F82</f>
        <v>0</v>
      </c>
    </row>
    <row r="83" spans="2:14" ht="14.25" customHeight="1" x14ac:dyDescent="0.25">
      <c r="B83" s="38">
        <f t="shared" si="23"/>
        <v>83</v>
      </c>
      <c r="C83" s="181">
        <v>1</v>
      </c>
      <c r="D83" s="381">
        <v>101741200</v>
      </c>
      <c r="E83" s="389" t="s">
        <v>922</v>
      </c>
      <c r="F83" s="380" t="str">
        <f>VLOOKUP("T.06.73",Translation,LanguageNo+1,FALSE)</f>
        <v>Mortgage Backed Securities (MBS)</v>
      </c>
      <c r="G83" s="84"/>
      <c r="H83" s="106"/>
      <c r="I83" s="429"/>
      <c r="J83" s="83" cm="1">
        <f t="array" ref="J83">IF(ISBLANK(B83),"",G83+SUMPRODUCT(--($H$6:$H$265=B83),$I$6:$I$265,$C$6:$C$265)*C83-I83)</f>
        <v>0</v>
      </c>
      <c r="K83" s="430"/>
      <c r="L83" s="83">
        <f>$J83+$K83</f>
        <v>0</v>
      </c>
      <c r="M83" s="83">
        <f t="shared" si="24"/>
        <v>0</v>
      </c>
      <c r="N83" s="83">
        <f>'SST Balance Sheet BVG'!F83</f>
        <v>0</v>
      </c>
    </row>
    <row r="84" spans="2:14" ht="14.25" customHeight="1" x14ac:dyDescent="0.25">
      <c r="B84" s="38">
        <f t="shared" si="23"/>
        <v>84</v>
      </c>
      <c r="C84" s="181">
        <v>1</v>
      </c>
      <c r="D84" s="381">
        <v>101741300</v>
      </c>
      <c r="E84" s="389" t="s">
        <v>923</v>
      </c>
      <c r="F84" s="380" t="str">
        <f>VLOOKUP("T.06.74",Translation,LanguageNo+1,FALSE)</f>
        <v>Collateralized Debt Obligations (CDO) und Collateralized Loan Obligations (CLO)</v>
      </c>
      <c r="G84" s="84"/>
      <c r="H84" s="106"/>
      <c r="I84" s="429"/>
      <c r="J84" s="83" cm="1">
        <f t="array" ref="J84">IF(ISBLANK(B84),"",G84+SUMPRODUCT(--($H$6:$H$265=B84),$I$6:$I$265,$C$6:$C$265)*C84-I84)</f>
        <v>0</v>
      </c>
      <c r="K84" s="430"/>
      <c r="L84" s="83">
        <f>$J84+$K84</f>
        <v>0</v>
      </c>
      <c r="M84" s="83">
        <f t="shared" si="24"/>
        <v>0</v>
      </c>
      <c r="N84" s="83">
        <f>'SST Balance Sheet BVG'!F84</f>
        <v>0</v>
      </c>
    </row>
    <row r="85" spans="2:14" ht="14.25" customHeight="1" x14ac:dyDescent="0.25">
      <c r="B85" s="38">
        <f t="shared" si="23"/>
        <v>85</v>
      </c>
      <c r="C85" s="181">
        <v>1</v>
      </c>
      <c r="D85" s="381">
        <v>101741400</v>
      </c>
      <c r="E85" s="389" t="s">
        <v>924</v>
      </c>
      <c r="F85" s="380" t="str">
        <f>VLOOKUP("T.06.75",Translation,LanguageNo+1,FALSE)</f>
        <v>Sonstige verbriefte Forderungen</v>
      </c>
      <c r="G85" s="84"/>
      <c r="H85" s="106"/>
      <c r="I85" s="429"/>
      <c r="J85" s="83" cm="1">
        <f t="array" ref="J85">IF(ISBLANK(B85),"",G85+SUMPRODUCT(--($H$6:$H$265=B85),$I$6:$I$265,$C$6:$C$265)*C85-I85)</f>
        <v>0</v>
      </c>
      <c r="K85" s="430"/>
      <c r="L85" s="83">
        <f>$J85+$K85</f>
        <v>0</v>
      </c>
      <c r="M85" s="83">
        <f t="shared" si="24"/>
        <v>0</v>
      </c>
      <c r="N85" s="83">
        <f>'SST Balance Sheet BVG'!F85</f>
        <v>0</v>
      </c>
    </row>
    <row r="86" spans="2:14" ht="14.25" customHeight="1" x14ac:dyDescent="0.25">
      <c r="B86" s="38">
        <f t="shared" si="23"/>
        <v>86</v>
      </c>
      <c r="C86" s="181">
        <v>1</v>
      </c>
      <c r="D86" s="381">
        <v>101742100</v>
      </c>
      <c r="E86" s="389" t="s">
        <v>925</v>
      </c>
      <c r="F86" s="381" t="str">
        <f>VLOOKUP("T.06.76",Translation,LanguageNo+1,FALSE)</f>
        <v>Andere Kapitalanlagen (Infrastrukturanlagen, Currency Overlay, u.a.)</v>
      </c>
      <c r="G86" s="428"/>
      <c r="H86" s="436"/>
      <c r="I86" s="437"/>
      <c r="J86" s="83" cm="1">
        <f t="array" ref="J86">IF(ISBLANK(B86),"",G86+SUMPRODUCT(--($H$6:$H$265=B86),$I$6:$I$265,$C$6:$C$265)*C86-I86)</f>
        <v>0</v>
      </c>
      <c r="K86" s="435"/>
      <c r="L86" s="83">
        <f>$J86+$K86</f>
        <v>0</v>
      </c>
      <c r="M86" s="83">
        <f t="shared" si="24"/>
        <v>0</v>
      </c>
      <c r="N86" s="83">
        <f>'SST Balance Sheet BVG'!F86</f>
        <v>0</v>
      </c>
    </row>
    <row r="87" spans="2:14" ht="14.25" customHeight="1" x14ac:dyDescent="0.25">
      <c r="B87" s="70"/>
      <c r="C87" s="183"/>
      <c r="D87" s="70"/>
      <c r="E87" s="70"/>
      <c r="F87" s="71"/>
      <c r="G87" s="72"/>
      <c r="H87" s="72"/>
      <c r="I87" s="72"/>
      <c r="J87" s="184"/>
      <c r="K87" s="72"/>
      <c r="L87" s="184"/>
      <c r="M87" s="184"/>
      <c r="N87" s="184"/>
    </row>
    <row r="88" spans="2:14" ht="14.25" customHeight="1" x14ac:dyDescent="0.25">
      <c r="B88" s="38">
        <f t="shared" ref="B88" si="25">ROW(B88)</f>
        <v>88</v>
      </c>
      <c r="C88" s="181">
        <v>1</v>
      </c>
      <c r="D88" s="372">
        <v>101000000</v>
      </c>
      <c r="E88" s="372" t="s">
        <v>870</v>
      </c>
      <c r="F88" s="289" t="str">
        <f>VLOOKUP("T.06.77",Translation,LanguageNo+1,FALSE)</f>
        <v>Total Kapitalanlagen</v>
      </c>
      <c r="G88" s="417">
        <f>G8+G20+G29+G39+G44+G52+G57</f>
        <v>0</v>
      </c>
      <c r="H88" s="296"/>
      <c r="I88" s="297"/>
      <c r="J88" s="417">
        <f>J8+J20+J29+J39+J44+J52+J57</f>
        <v>0</v>
      </c>
      <c r="K88" s="417">
        <f>K8+K20+K29+K39+K44+K52+K57</f>
        <v>0</v>
      </c>
      <c r="L88" s="417">
        <f>L8+L20+L29+L39+L44+L52+L57</f>
        <v>0</v>
      </c>
      <c r="M88" s="75">
        <f>$N88-$L88</f>
        <v>0</v>
      </c>
      <c r="N88" s="180">
        <f>'SST Balance Sheet BVG'!F88</f>
        <v>0</v>
      </c>
    </row>
    <row r="89" spans="2:14" ht="14.25" customHeight="1" x14ac:dyDescent="0.25">
      <c r="B89" s="184"/>
      <c r="C89" s="183"/>
      <c r="D89" s="70"/>
      <c r="E89" s="70"/>
      <c r="F89" s="71"/>
      <c r="G89" s="72"/>
      <c r="H89" s="72"/>
      <c r="I89" s="72"/>
      <c r="J89" s="184"/>
      <c r="K89" s="72"/>
      <c r="L89" s="184"/>
      <c r="M89" s="184"/>
      <c r="N89" s="184"/>
    </row>
    <row r="90" spans="2:14" ht="14.25" customHeight="1" x14ac:dyDescent="0.25">
      <c r="B90" s="38">
        <f t="shared" ref="B90" si="26">ROW(B90)</f>
        <v>90</v>
      </c>
      <c r="C90" s="179"/>
      <c r="D90" s="38"/>
      <c r="E90" s="38"/>
      <c r="F90" s="110" t="str">
        <f>VLOOKUP("T.06.78",Translation,LanguageNo+1,FALSE)</f>
        <v>Übrige Aktiven</v>
      </c>
      <c r="G90" s="75"/>
      <c r="H90" s="75"/>
      <c r="I90" s="75"/>
      <c r="J90" s="75"/>
      <c r="K90" s="75"/>
      <c r="L90" s="75"/>
      <c r="M90" s="75"/>
      <c r="N90" s="180"/>
    </row>
    <row r="91" spans="2:14" s="63" customFormat="1" ht="14.25" customHeight="1" x14ac:dyDescent="0.25">
      <c r="B91" s="70"/>
      <c r="C91" s="183"/>
      <c r="D91" s="70"/>
      <c r="E91" s="70"/>
      <c r="F91" s="102"/>
      <c r="G91" s="72"/>
      <c r="H91" s="72"/>
      <c r="I91" s="72"/>
      <c r="J91" s="184"/>
      <c r="K91" s="72"/>
      <c r="L91" s="184"/>
      <c r="M91" s="184"/>
      <c r="N91" s="184"/>
    </row>
    <row r="92" spans="2:14" s="495" customFormat="1" ht="14.25" customHeight="1" x14ac:dyDescent="0.25">
      <c r="B92" s="489">
        <f t="shared" ref="B92" si="27">ROW(B92)</f>
        <v>92</v>
      </c>
      <c r="C92" s="490"/>
      <c r="D92" s="489">
        <v>102000000</v>
      </c>
      <c r="E92" s="491" t="s">
        <v>929</v>
      </c>
      <c r="F92" s="492" t="str">
        <f>VLOOKUP("T.06.79",Translation,LanguageNo+1,FALSE)</f>
        <v>1.2 Kapitalanlagen aus anteilgebundener Lebensversicherung</v>
      </c>
      <c r="G92" s="493">
        <f>G93+G95</f>
        <v>0</v>
      </c>
      <c r="H92" s="493"/>
      <c r="I92" s="493"/>
      <c r="J92" s="493">
        <f>J93+J95</f>
        <v>0</v>
      </c>
      <c r="K92" s="493">
        <f>K93+K95</f>
        <v>0</v>
      </c>
      <c r="L92" s="493">
        <f>L93+L95</f>
        <v>0</v>
      </c>
      <c r="M92" s="494">
        <f t="shared" ref="M92:M93" si="28">$N92-$L92</f>
        <v>0</v>
      </c>
      <c r="N92" s="494">
        <f>'SST Balance Sheet BVG'!F92</f>
        <v>0</v>
      </c>
    </row>
    <row r="93" spans="2:14" s="495" customFormat="1" ht="14.25" customHeight="1" x14ac:dyDescent="0.25">
      <c r="B93" s="489">
        <f t="shared" ref="B93:B100" si="29">ROW(B93)</f>
        <v>93</v>
      </c>
      <c r="C93" s="496">
        <v>1</v>
      </c>
      <c r="D93" s="489">
        <v>102100000</v>
      </c>
      <c r="E93" s="491" t="s">
        <v>930</v>
      </c>
      <c r="F93" s="492" t="str">
        <f>VLOOKUP("T.06.80",Translation,LanguageNo+1,FALSE)</f>
        <v>Fondsanteilgebundene Lebensversicherung</v>
      </c>
      <c r="G93" s="497"/>
      <c r="H93" s="498"/>
      <c r="I93" s="499"/>
      <c r="J93" s="494" cm="1">
        <f t="array" ref="J93">IF(ISBLANK(B93),"",G93+SUMPRODUCT(--($H$6:$H$265=B93),$I$6:$I$265,$C$6:$C$265)*C93-I93)</f>
        <v>0</v>
      </c>
      <c r="K93" s="500"/>
      <c r="L93" s="494">
        <f t="shared" ref="L93" si="30">$J93+$K93</f>
        <v>0</v>
      </c>
      <c r="M93" s="494">
        <f t="shared" si="28"/>
        <v>0</v>
      </c>
      <c r="N93" s="494">
        <f>'SST Balance Sheet BVG'!F93</f>
        <v>0</v>
      </c>
    </row>
    <row r="94" spans="2:14" s="495" customFormat="1" ht="14.25" customHeight="1" x14ac:dyDescent="0.25">
      <c r="B94" s="489"/>
      <c r="C94" s="490"/>
      <c r="D94" s="489"/>
      <c r="E94" s="489"/>
      <c r="F94" s="501"/>
      <c r="G94" s="502"/>
      <c r="H94" s="502"/>
      <c r="I94" s="502"/>
      <c r="J94" s="494"/>
      <c r="K94" s="502"/>
      <c r="L94" s="494"/>
      <c r="M94" s="494"/>
      <c r="N94" s="494"/>
    </row>
    <row r="95" spans="2:14" s="495" customFormat="1" ht="14.25" customHeight="1" x14ac:dyDescent="0.25">
      <c r="B95" s="489">
        <f t="shared" si="29"/>
        <v>95</v>
      </c>
      <c r="C95" s="496"/>
      <c r="D95" s="489">
        <v>102200000</v>
      </c>
      <c r="E95" s="491" t="s">
        <v>931</v>
      </c>
      <c r="F95" s="503" t="str">
        <f>VLOOKUP("T.06.81",Translation,LanguageNo+1,FALSE)</f>
        <v>An interne Anlagebestände oder andere Bezugswerte gebundene Lebensversicherung</v>
      </c>
      <c r="G95" s="493">
        <f>SUM(G96:G101)</f>
        <v>0</v>
      </c>
      <c r="H95" s="493"/>
      <c r="I95" s="493"/>
      <c r="J95" s="502">
        <f>SUM(J96:J101)</f>
        <v>0</v>
      </c>
      <c r="K95" s="493">
        <f>SUM(K96:K101)</f>
        <v>0</v>
      </c>
      <c r="L95" s="502">
        <f>SUM(L96:L101)</f>
        <v>0</v>
      </c>
      <c r="M95" s="494">
        <f t="shared" ref="M95:M101" si="31">$N95-$L95</f>
        <v>0</v>
      </c>
      <c r="N95" s="494">
        <f>'SST Balance Sheet BVG'!F95</f>
        <v>0</v>
      </c>
    </row>
    <row r="96" spans="2:14" s="495" customFormat="1" ht="14.25" customHeight="1" x14ac:dyDescent="0.25">
      <c r="B96" s="489">
        <f t="shared" si="29"/>
        <v>96</v>
      </c>
      <c r="C96" s="496">
        <v>1</v>
      </c>
      <c r="D96" s="489">
        <v>102200010</v>
      </c>
      <c r="E96" s="504"/>
      <c r="F96" s="489" t="str">
        <f>VLOOKUP("T.06.82",Translation,LanguageNo+1,FALSE)</f>
        <v>Immobilien</v>
      </c>
      <c r="G96" s="505"/>
      <c r="H96" s="506"/>
      <c r="I96" s="507"/>
      <c r="J96" s="494" cm="1">
        <f t="array" ref="J96">IF(ISBLANK(B96),"",G96+SUMPRODUCT(--($H$6:$H$265=B96),$I$6:$I$265,$C$6:$C$265)*C96-I96)</f>
        <v>0</v>
      </c>
      <c r="K96" s="508"/>
      <c r="L96" s="494">
        <f t="shared" ref="L96:L101" si="32">$J96+$K96</f>
        <v>0</v>
      </c>
      <c r="M96" s="494">
        <f t="shared" si="31"/>
        <v>0</v>
      </c>
      <c r="N96" s="494">
        <f>'SST Balance Sheet BVG'!F96</f>
        <v>0</v>
      </c>
    </row>
    <row r="97" spans="2:19" s="495" customFormat="1" ht="14.25" customHeight="1" x14ac:dyDescent="0.25">
      <c r="B97" s="489">
        <f t="shared" si="29"/>
        <v>97</v>
      </c>
      <c r="C97" s="496">
        <v>1</v>
      </c>
      <c r="D97" s="489" t="s">
        <v>1433</v>
      </c>
      <c r="E97" s="504"/>
      <c r="F97" s="489" t="str">
        <f>VLOOKUP("T.06.83",Translation,LanguageNo+1,FALSE)</f>
        <v>Festverzinsliche Wertpapiere, Darlehen</v>
      </c>
      <c r="G97" s="505"/>
      <c r="H97" s="506"/>
      <c r="I97" s="507"/>
      <c r="J97" s="494" cm="1">
        <f t="array" ref="J97">IF(ISBLANK(B97),"",G97+SUMPRODUCT(--($H$6:$H$265=B97),$I$6:$I$265,$C$6:$C$265)*C97-I97)</f>
        <v>0</v>
      </c>
      <c r="K97" s="508"/>
      <c r="L97" s="494">
        <f t="shared" si="32"/>
        <v>0</v>
      </c>
      <c r="M97" s="494">
        <f t="shared" si="31"/>
        <v>0</v>
      </c>
      <c r="N97" s="494">
        <f>'SST Balance Sheet BVG'!F97</f>
        <v>0</v>
      </c>
    </row>
    <row r="98" spans="2:19" s="495" customFormat="1" ht="14.25" customHeight="1" x14ac:dyDescent="0.25">
      <c r="B98" s="489">
        <f t="shared" si="29"/>
        <v>98</v>
      </c>
      <c r="C98" s="496">
        <v>1</v>
      </c>
      <c r="D98" s="489">
        <v>102200040</v>
      </c>
      <c r="E98" s="504"/>
      <c r="F98" s="489" t="str">
        <f>VLOOKUP("T.06.84",Translation,LanguageNo+1,FALSE)</f>
        <v>Hypotheken</v>
      </c>
      <c r="G98" s="505"/>
      <c r="H98" s="506"/>
      <c r="I98" s="507"/>
      <c r="J98" s="494" cm="1">
        <f t="array" ref="J98">IF(ISBLANK(B98),"",G98+SUMPRODUCT(--($H$6:$H$265=B98),$I$6:$I$265,$C$6:$C$265)*C98-I98)</f>
        <v>0</v>
      </c>
      <c r="K98" s="508"/>
      <c r="L98" s="494">
        <f t="shared" si="32"/>
        <v>0</v>
      </c>
      <c r="M98" s="494">
        <f t="shared" si="31"/>
        <v>0</v>
      </c>
      <c r="N98" s="494">
        <f>'SST Balance Sheet BVG'!F98</f>
        <v>0</v>
      </c>
    </row>
    <row r="99" spans="2:19" s="495" customFormat="1" ht="14.25" customHeight="1" x14ac:dyDescent="0.25">
      <c r="B99" s="489">
        <f t="shared" si="29"/>
        <v>99</v>
      </c>
      <c r="C99" s="496">
        <v>1</v>
      </c>
      <c r="D99" s="489">
        <v>102200050</v>
      </c>
      <c r="E99" s="504"/>
      <c r="F99" s="489" t="str">
        <f>VLOOKUP("T.06.85",Translation,LanguageNo+1,FALSE)</f>
        <v>Aktien und ähnliche Wertschriften</v>
      </c>
      <c r="G99" s="505"/>
      <c r="H99" s="506"/>
      <c r="I99" s="507"/>
      <c r="J99" s="494" cm="1">
        <f t="array" ref="J99">IF(ISBLANK(B99),"",G99+SUMPRODUCT(--($H$6:$H$265=B99),$I$6:$I$265,$C$6:$C$265)*C99-I99)</f>
        <v>0</v>
      </c>
      <c r="K99" s="508"/>
      <c r="L99" s="494">
        <f t="shared" si="32"/>
        <v>0</v>
      </c>
      <c r="M99" s="494">
        <f t="shared" si="31"/>
        <v>0</v>
      </c>
      <c r="N99" s="494">
        <f>'SST Balance Sheet BVG'!F99</f>
        <v>0</v>
      </c>
    </row>
    <row r="100" spans="2:19" s="495" customFormat="1" ht="14.25" customHeight="1" x14ac:dyDescent="0.25">
      <c r="B100" s="489">
        <f t="shared" si="29"/>
        <v>100</v>
      </c>
      <c r="C100" s="496">
        <v>1</v>
      </c>
      <c r="D100" s="489">
        <v>102200070</v>
      </c>
      <c r="E100" s="504"/>
      <c r="F100" s="489" t="str">
        <f>VLOOKUP("T.06.86",Translation,LanguageNo+1,FALSE)</f>
        <v>Alternative Anlagen</v>
      </c>
      <c r="G100" s="505"/>
      <c r="H100" s="506"/>
      <c r="I100" s="507"/>
      <c r="J100" s="494" cm="1">
        <f t="array" ref="J100">IF(ISBLANK(B100),"",G100+SUMPRODUCT(--($H$6:$H$265=B100),$I$6:$I$265,$C$6:$C$265)*C100-I100)</f>
        <v>0</v>
      </c>
      <c r="K100" s="508"/>
      <c r="L100" s="494">
        <f t="shared" si="32"/>
        <v>0</v>
      </c>
      <c r="M100" s="494">
        <f t="shared" si="31"/>
        <v>0</v>
      </c>
      <c r="N100" s="494">
        <f>'SST Balance Sheet BVG'!F100</f>
        <v>0</v>
      </c>
    </row>
    <row r="101" spans="2:19" s="495" customFormat="1" ht="14.25" customHeight="1" x14ac:dyDescent="0.25">
      <c r="B101" s="489">
        <f t="shared" ref="B101:B107" si="33">ROW(B101)</f>
        <v>101</v>
      </c>
      <c r="C101" s="496">
        <v>1</v>
      </c>
      <c r="D101" s="509" t="s">
        <v>1434</v>
      </c>
      <c r="E101" s="510"/>
      <c r="F101" s="489" t="str">
        <f>VLOOKUP("T.06.87",Translation,LanguageNo+1,FALSE)</f>
        <v>Übrige Anlagen</v>
      </c>
      <c r="G101" s="497"/>
      <c r="H101" s="498"/>
      <c r="I101" s="499"/>
      <c r="J101" s="494" cm="1">
        <f t="array" ref="J101">IF(ISBLANK(B101),"",G101+SUMPRODUCT(--($H$6:$H$265=B101),$I$6:$I$265,$C$6:$C$265)*C101-I101)</f>
        <v>0</v>
      </c>
      <c r="K101" s="500"/>
      <c r="L101" s="494">
        <f t="shared" si="32"/>
        <v>0</v>
      </c>
      <c r="M101" s="494">
        <f t="shared" si="31"/>
        <v>0</v>
      </c>
      <c r="N101" s="494">
        <f>'SST Balance Sheet BVG'!F101</f>
        <v>0</v>
      </c>
    </row>
    <row r="102" spans="2:19" s="63" customFormat="1" ht="14.25" customHeight="1" x14ac:dyDescent="0.25">
      <c r="B102" s="70"/>
      <c r="C102" s="183"/>
      <c r="D102" s="70"/>
      <c r="E102" s="70"/>
      <c r="F102" s="102"/>
      <c r="G102" s="72"/>
      <c r="H102" s="72"/>
      <c r="I102" s="72"/>
      <c r="J102" s="184"/>
      <c r="K102" s="72"/>
      <c r="L102" s="184"/>
      <c r="M102" s="184"/>
      <c r="N102" s="184"/>
      <c r="O102" s="46"/>
    </row>
    <row r="103" spans="2:19" ht="14.25" customHeight="1" x14ac:dyDescent="0.25">
      <c r="B103" s="38">
        <f t="shared" si="33"/>
        <v>103</v>
      </c>
      <c r="C103" s="181"/>
      <c r="D103" s="381">
        <v>103000000</v>
      </c>
      <c r="E103" s="389" t="s">
        <v>932</v>
      </c>
      <c r="F103" s="378" t="str">
        <f>VLOOKUP("T.06.88",Translation,LanguageNo+1,FALSE)</f>
        <v>1.3 Forderungen aus derivativen Finanzinstrumenten</v>
      </c>
      <c r="G103" s="74">
        <f>SUM(G104:G109)</f>
        <v>0</v>
      </c>
      <c r="H103" s="74"/>
      <c r="I103" s="74"/>
      <c r="J103" s="75">
        <f>SUM(J104:J109)</f>
        <v>0</v>
      </c>
      <c r="K103" s="74">
        <f>SUM(K104:K109)</f>
        <v>0</v>
      </c>
      <c r="L103" s="75">
        <f>SUM(L104:L109)</f>
        <v>0</v>
      </c>
      <c r="M103" s="180">
        <f t="shared" ref="M103:M109" si="34">$N103-$L103</f>
        <v>0</v>
      </c>
      <c r="N103" s="180">
        <f>'SST Balance Sheet BVG'!F103</f>
        <v>0</v>
      </c>
    </row>
    <row r="104" spans="2:19" ht="14.25" customHeight="1" x14ac:dyDescent="0.25">
      <c r="B104" s="38">
        <f t="shared" si="33"/>
        <v>104</v>
      </c>
      <c r="C104" s="181">
        <v>1</v>
      </c>
      <c r="D104" s="381">
        <v>103000100</v>
      </c>
      <c r="E104" s="389" t="s">
        <v>933</v>
      </c>
      <c r="F104" s="381" t="str">
        <f>VLOOKUP("T.06.89",Translation,LanguageNo+1,FALSE)</f>
        <v>Zinsrisikobezogene Instrumente</v>
      </c>
      <c r="G104" s="64"/>
      <c r="H104" s="36"/>
      <c r="I104" s="65"/>
      <c r="J104" s="180" cm="1">
        <f t="array" ref="J104">IF(ISBLANK(B104),"",G104+SUMPRODUCT(--($H$6:$H$265=B104),$I$6:$I$265,$C$6:$C$265)*C104-I104)</f>
        <v>0</v>
      </c>
      <c r="K104" s="65"/>
      <c r="L104" s="180">
        <f t="shared" ref="L104:L109" si="35">$J104+$K104</f>
        <v>0</v>
      </c>
      <c r="M104" s="180">
        <f t="shared" si="34"/>
        <v>0</v>
      </c>
      <c r="N104" s="180">
        <f>'SST Balance Sheet BVG'!F104</f>
        <v>0</v>
      </c>
    </row>
    <row r="105" spans="2:19" ht="14.25" customHeight="1" x14ac:dyDescent="0.25">
      <c r="B105" s="38">
        <f t="shared" si="33"/>
        <v>105</v>
      </c>
      <c r="C105" s="181">
        <v>1</v>
      </c>
      <c r="D105" s="381">
        <v>103000200</v>
      </c>
      <c r="E105" s="389" t="s">
        <v>934</v>
      </c>
      <c r="F105" s="381" t="str">
        <f>VLOOKUP("T.06.90",Translation,LanguageNo+1,FALSE)</f>
        <v>Währungsrisikobezogene Instrumente</v>
      </c>
      <c r="G105" s="64"/>
      <c r="H105" s="36"/>
      <c r="I105" s="65"/>
      <c r="J105" s="180" cm="1">
        <f t="array" ref="J105">IF(ISBLANK(B105),"",G105+SUMPRODUCT(--($H$6:$H$265=B105),$I$6:$I$265,$C$6:$C$265)*C105-I105)</f>
        <v>0</v>
      </c>
      <c r="K105" s="65"/>
      <c r="L105" s="180">
        <f t="shared" si="35"/>
        <v>0</v>
      </c>
      <c r="M105" s="180">
        <f t="shared" si="34"/>
        <v>0</v>
      </c>
      <c r="N105" s="180">
        <f>'SST Balance Sheet BVG'!F105</f>
        <v>0</v>
      </c>
    </row>
    <row r="106" spans="2:19" ht="14.25" customHeight="1" x14ac:dyDescent="0.25">
      <c r="B106" s="38">
        <f t="shared" si="33"/>
        <v>106</v>
      </c>
      <c r="C106" s="181">
        <v>1</v>
      </c>
      <c r="D106" s="381">
        <v>103000300</v>
      </c>
      <c r="E106" s="389" t="s">
        <v>935</v>
      </c>
      <c r="F106" s="381" t="str">
        <f>VLOOKUP("T.06.91",Translation,LanguageNo+1,FALSE)</f>
        <v>(Aktien-)Marktrisikobezogene Instrumente</v>
      </c>
      <c r="G106" s="64"/>
      <c r="H106" s="36"/>
      <c r="I106" s="65"/>
      <c r="J106" s="180" cm="1">
        <f t="array" ref="J106">IF(ISBLANK(B106),"",G106+SUMPRODUCT(--($H$6:$H$265=B106),$I$6:$I$265,$C$6:$C$265)*C106-I106)</f>
        <v>0</v>
      </c>
      <c r="K106" s="65"/>
      <c r="L106" s="180">
        <f t="shared" si="35"/>
        <v>0</v>
      </c>
      <c r="M106" s="180">
        <f t="shared" si="34"/>
        <v>0</v>
      </c>
      <c r="N106" s="180">
        <f>'SST Balance Sheet BVG'!F106</f>
        <v>0</v>
      </c>
    </row>
    <row r="107" spans="2:19" ht="14.25" customHeight="1" x14ac:dyDescent="0.25">
      <c r="B107" s="38">
        <f t="shared" si="33"/>
        <v>107</v>
      </c>
      <c r="C107" s="181">
        <v>1</v>
      </c>
      <c r="D107" s="381">
        <v>103000400</v>
      </c>
      <c r="E107" s="389" t="s">
        <v>936</v>
      </c>
      <c r="F107" s="381" t="str">
        <f>VLOOKUP("T.06.92",Translation,LanguageNo+1,FALSE)</f>
        <v>Kreditrisikobezogene Instrumente</v>
      </c>
      <c r="G107" s="64"/>
      <c r="H107" s="36"/>
      <c r="I107" s="65"/>
      <c r="J107" s="180" cm="1">
        <f t="array" ref="J107">IF(ISBLANK(B107),"",G107+SUMPRODUCT(--($H$6:$H$265=B107),$I$6:$I$265,$C$6:$C$265)*C107-I107)</f>
        <v>0</v>
      </c>
      <c r="K107" s="65"/>
      <c r="L107" s="180">
        <f t="shared" si="35"/>
        <v>0</v>
      </c>
      <c r="M107" s="180">
        <f t="shared" si="34"/>
        <v>0</v>
      </c>
      <c r="N107" s="180">
        <f>'SST Balance Sheet BVG'!F107</f>
        <v>0</v>
      </c>
    </row>
    <row r="108" spans="2:19" s="63" customFormat="1" ht="14.25" customHeight="1" x14ac:dyDescent="0.25">
      <c r="B108" s="38">
        <f t="shared" ref="B108" si="36">ROW(B108)</f>
        <v>108</v>
      </c>
      <c r="C108" s="181">
        <v>1</v>
      </c>
      <c r="D108" s="381">
        <v>103000500</v>
      </c>
      <c r="E108" s="381" t="s">
        <v>937</v>
      </c>
      <c r="F108" s="381" t="str">
        <f>VLOOKUP("T.06.93",Translation,LanguageNo+1,FALSE)</f>
        <v>Versicherungsrisikobezogene Instrumente (z.B. Cat Derivate)</v>
      </c>
      <c r="G108" s="64"/>
      <c r="H108" s="36"/>
      <c r="I108" s="65"/>
      <c r="J108" s="180" cm="1">
        <f t="array" ref="J108">IF(ISBLANK(B108),"",G108+SUMPRODUCT(--($H$6:$H$265=B108),$I$6:$I$265,$C$6:$C$265)*C108-I108)</f>
        <v>0</v>
      </c>
      <c r="K108" s="65"/>
      <c r="L108" s="180">
        <f t="shared" si="35"/>
        <v>0</v>
      </c>
      <c r="M108" s="180">
        <f t="shared" si="34"/>
        <v>0</v>
      </c>
      <c r="N108" s="180">
        <f>'SST Balance Sheet BVG'!F108</f>
        <v>0</v>
      </c>
      <c r="O108" s="46"/>
    </row>
    <row r="109" spans="2:19" s="63" customFormat="1" ht="14.25" customHeight="1" x14ac:dyDescent="0.25">
      <c r="B109" s="38">
        <f>ROW(B109)</f>
        <v>109</v>
      </c>
      <c r="C109" s="181">
        <v>1</v>
      </c>
      <c r="D109" s="381">
        <v>103000600</v>
      </c>
      <c r="E109" s="381" t="s">
        <v>938</v>
      </c>
      <c r="F109" s="383" t="str">
        <f>VLOOKUP("T.06.94",Translation,LanguageNo+1,FALSE)</f>
        <v>Übrige derivative Instrumente</v>
      </c>
      <c r="G109" s="68"/>
      <c r="H109" s="111"/>
      <c r="I109" s="182"/>
      <c r="J109" s="180" cm="1">
        <f t="array" ref="J109">IF(ISBLANK(B109),"",G109+SUMPRODUCT(--($H$6:$H$265=B109),$I$6:$I$265,$C$6:$C$265)*C109-I109)</f>
        <v>0</v>
      </c>
      <c r="K109" s="182"/>
      <c r="L109" s="180">
        <f t="shared" si="35"/>
        <v>0</v>
      </c>
      <c r="M109" s="180">
        <f t="shared" si="34"/>
        <v>0</v>
      </c>
      <c r="N109" s="180">
        <f>'SST Balance Sheet BVG'!F109</f>
        <v>0</v>
      </c>
      <c r="O109" s="46"/>
      <c r="P109" s="46"/>
      <c r="Q109" s="46"/>
      <c r="R109" s="46"/>
      <c r="S109" s="46"/>
    </row>
    <row r="110" spans="2:19" ht="14.25" customHeight="1" x14ac:dyDescent="0.25">
      <c r="B110" s="76"/>
      <c r="C110" s="186"/>
      <c r="D110" s="76"/>
      <c r="E110" s="76"/>
      <c r="F110" s="71"/>
      <c r="G110" s="72"/>
      <c r="H110" s="72"/>
      <c r="I110" s="72"/>
      <c r="J110" s="184"/>
      <c r="K110" s="72"/>
      <c r="L110" s="184"/>
      <c r="M110" s="184"/>
      <c r="N110" s="184"/>
    </row>
    <row r="111" spans="2:19" ht="14.25" customHeight="1" x14ac:dyDescent="0.25">
      <c r="B111" s="38">
        <f t="shared" ref="B111:B114" si="37">ROW(B111)</f>
        <v>111</v>
      </c>
      <c r="C111" s="181">
        <v>1</v>
      </c>
      <c r="D111" s="381">
        <v>104000000</v>
      </c>
      <c r="E111" s="389" t="s">
        <v>939</v>
      </c>
      <c r="F111" s="108" t="str">
        <f>VLOOKUP("T.06.95",Translation,LanguageNo+1,FALSE)</f>
        <v>1.4 Depotforderungen aus übernommener Rückversicherung</v>
      </c>
      <c r="G111" s="40"/>
      <c r="H111" s="39"/>
      <c r="I111" s="112"/>
      <c r="J111" s="180" cm="1">
        <f t="array" ref="J111">IF(ISBLANK(B111),"",G111+SUMPRODUCT(--($H$6:$H$265=B111),$I$6:$I$265,$C$6:$C$265)*C111-I111)</f>
        <v>0</v>
      </c>
      <c r="K111" s="192"/>
      <c r="L111" s="180">
        <f t="shared" ref="L111" si="38">$J111+$K111</f>
        <v>0</v>
      </c>
      <c r="M111" s="180">
        <f t="shared" ref="M111" si="39">$N111-$L111</f>
        <v>0</v>
      </c>
      <c r="N111" s="180">
        <f>'SST Balance Sheet BVG'!F111</f>
        <v>0</v>
      </c>
    </row>
    <row r="112" spans="2:19" s="63" customFormat="1" ht="14.25" customHeight="1" x14ac:dyDescent="0.25">
      <c r="B112" s="76"/>
      <c r="C112" s="186"/>
      <c r="D112" s="76"/>
      <c r="E112" s="76"/>
      <c r="F112" s="122"/>
      <c r="G112" s="72"/>
      <c r="H112" s="72"/>
      <c r="I112" s="72"/>
      <c r="J112" s="184"/>
      <c r="K112" s="72"/>
      <c r="L112" s="184"/>
      <c r="M112" s="184"/>
      <c r="N112" s="184"/>
    </row>
    <row r="113" spans="2:14" ht="14.25" customHeight="1" x14ac:dyDescent="0.25">
      <c r="B113" s="38">
        <f t="shared" si="37"/>
        <v>113</v>
      </c>
      <c r="C113" s="181"/>
      <c r="D113" s="381">
        <v>105000000</v>
      </c>
      <c r="E113" s="389" t="s">
        <v>940</v>
      </c>
      <c r="F113" s="108" t="str">
        <f>VLOOKUP("T.06.96",Translation,LanguageNo+1,FALSE)</f>
        <v>1.5 Flüssige Mittel</v>
      </c>
      <c r="G113" s="74">
        <f>SUM(G114:G116)</f>
        <v>0</v>
      </c>
      <c r="H113" s="74"/>
      <c r="I113" s="74"/>
      <c r="J113" s="75">
        <f>SUM(J114:J116)</f>
        <v>0</v>
      </c>
      <c r="K113" s="74">
        <f>SUM(K114:K116)</f>
        <v>0</v>
      </c>
      <c r="L113" s="75">
        <f>SUM(L114:L116)</f>
        <v>0</v>
      </c>
      <c r="M113" s="180">
        <f t="shared" ref="M113:M116" si="40">$N113-$L113</f>
        <v>0</v>
      </c>
      <c r="N113" s="180">
        <f>'SST Balance Sheet BVG'!F113</f>
        <v>0</v>
      </c>
    </row>
    <row r="114" spans="2:14" ht="14.25" customHeight="1" x14ac:dyDescent="0.25">
      <c r="B114" s="38">
        <f t="shared" si="37"/>
        <v>114</v>
      </c>
      <c r="C114" s="181">
        <v>1</v>
      </c>
      <c r="D114" s="381">
        <v>105000100</v>
      </c>
      <c r="E114" s="389" t="s">
        <v>941</v>
      </c>
      <c r="F114" s="38" t="str">
        <f>VLOOKUP("T.06.97",Translation,LanguageNo+1,FALSE)</f>
        <v>Bargeld</v>
      </c>
      <c r="G114" s="64"/>
      <c r="H114" s="36"/>
      <c r="I114" s="79"/>
      <c r="J114" s="180" cm="1">
        <f t="array" ref="J114">IF(ISBLANK(B114),"",G114+SUMPRODUCT(--($H$6:$H$265=B114),$I$6:$I$265,$C$6:$C$265)*C114-I114)</f>
        <v>0</v>
      </c>
      <c r="K114" s="65"/>
      <c r="L114" s="180">
        <f t="shared" ref="L114:L116" si="41">$J114+$K114</f>
        <v>0</v>
      </c>
      <c r="M114" s="180">
        <f t="shared" si="40"/>
        <v>0</v>
      </c>
      <c r="N114" s="180">
        <f>'SST Balance Sheet BVG'!F114</f>
        <v>0</v>
      </c>
    </row>
    <row r="115" spans="2:14" ht="14.25" customHeight="1" x14ac:dyDescent="0.25">
      <c r="B115" s="38">
        <f t="shared" ref="B115:B129" si="42">ROW(B115)</f>
        <v>115</v>
      </c>
      <c r="C115" s="181">
        <v>1</v>
      </c>
      <c r="D115" s="381">
        <v>105000200</v>
      </c>
      <c r="E115" s="389" t="s">
        <v>942</v>
      </c>
      <c r="F115" s="38" t="str">
        <f>VLOOKUP("T.06.98",Translation,LanguageNo+1,FALSE)</f>
        <v>Bankguthaben</v>
      </c>
      <c r="G115" s="64"/>
      <c r="H115" s="36"/>
      <c r="I115" s="79"/>
      <c r="J115" s="180" cm="1">
        <f t="array" ref="J115">IF(ISBLANK(B115),"",G115+SUMPRODUCT(--($H$6:$H$265=B115),$I$6:$I$265,$C$6:$C$265)*C115-I115)</f>
        <v>0</v>
      </c>
      <c r="K115" s="65"/>
      <c r="L115" s="180">
        <f t="shared" si="41"/>
        <v>0</v>
      </c>
      <c r="M115" s="180">
        <f t="shared" si="40"/>
        <v>0</v>
      </c>
      <c r="N115" s="180">
        <f>'SST Balance Sheet BVG'!F115</f>
        <v>0</v>
      </c>
    </row>
    <row r="116" spans="2:14" ht="14.25" customHeight="1" x14ac:dyDescent="0.25">
      <c r="B116" s="38">
        <f t="shared" si="42"/>
        <v>116</v>
      </c>
      <c r="C116" s="181">
        <v>1</v>
      </c>
      <c r="D116" s="381">
        <v>105000300</v>
      </c>
      <c r="E116" s="389" t="s">
        <v>943</v>
      </c>
      <c r="F116" s="38" t="str">
        <f>VLOOKUP("T.06.99",Translation,LanguageNo+1,FALSE)</f>
        <v>Forderungen aus Geldmarktanlagen</v>
      </c>
      <c r="G116" s="68"/>
      <c r="H116" s="111"/>
      <c r="I116" s="94"/>
      <c r="J116" s="180" cm="1">
        <f t="array" ref="J116">IF(ISBLANK(B116),"",G116+SUMPRODUCT(--($H$6:$H$265=B116),$I$6:$I$265,$C$6:$C$265)*C116-I116)</f>
        <v>0</v>
      </c>
      <c r="K116" s="182"/>
      <c r="L116" s="180">
        <f t="shared" si="41"/>
        <v>0</v>
      </c>
      <c r="M116" s="180">
        <f t="shared" si="40"/>
        <v>0</v>
      </c>
      <c r="N116" s="180">
        <f>'SST Balance Sheet BVG'!F116</f>
        <v>0</v>
      </c>
    </row>
    <row r="117" spans="2:14" s="63" customFormat="1" ht="14.25" customHeight="1" x14ac:dyDescent="0.25">
      <c r="B117" s="70"/>
      <c r="C117" s="183"/>
      <c r="D117" s="70"/>
      <c r="E117" s="70"/>
      <c r="F117" s="122"/>
      <c r="G117" s="72"/>
      <c r="H117" s="72"/>
      <c r="I117" s="72"/>
      <c r="J117" s="184"/>
      <c r="K117" s="72"/>
      <c r="L117" s="184"/>
      <c r="M117" s="184"/>
      <c r="N117" s="184"/>
    </row>
    <row r="118" spans="2:14" ht="14.25" customHeight="1" x14ac:dyDescent="0.25">
      <c r="B118" s="38">
        <f t="shared" si="42"/>
        <v>118</v>
      </c>
      <c r="C118" s="179"/>
      <c r="D118" s="381">
        <v>106000000</v>
      </c>
      <c r="E118" s="408"/>
      <c r="F118" s="108" t="str">
        <f>VLOOKUP("T.06.100",Translation,LanguageNo+1,FALSE)</f>
        <v>1.6 Anteil versicherungstechnische Rückstellungen aus Rückversicherung</v>
      </c>
      <c r="G118" s="397">
        <f>G119+G121+G122+G126+G128+SUM(G131:G133)</f>
        <v>0</v>
      </c>
      <c r="H118" s="37"/>
      <c r="I118" s="37"/>
      <c r="J118" s="397">
        <f>J119+J121+J122+J126+J128+SUM(J131:J133)</f>
        <v>0</v>
      </c>
      <c r="K118" s="397">
        <f>K119+K121+K122+K126+K128+SUM(K131:K133)</f>
        <v>0</v>
      </c>
      <c r="L118" s="397">
        <f>L119+L121+L122+L126+L128+SUM(L131:L133)</f>
        <v>0</v>
      </c>
      <c r="M118" s="180">
        <f t="shared" ref="M118:M120" si="43">$N118-$L118</f>
        <v>0</v>
      </c>
      <c r="N118" s="180">
        <f>'SST Balance Sheet BVG'!F118</f>
        <v>0</v>
      </c>
    </row>
    <row r="119" spans="2:14" s="553" customFormat="1" ht="14.25" customHeight="1" x14ac:dyDescent="0.25">
      <c r="B119" s="544">
        <f t="shared" si="42"/>
        <v>119</v>
      </c>
      <c r="C119" s="545">
        <v>1</v>
      </c>
      <c r="D119" s="546">
        <v>106101000</v>
      </c>
      <c r="E119" s="547" t="s">
        <v>959</v>
      </c>
      <c r="F119" s="546" t="str">
        <f>VLOOKUP("T.06.101",Translation,LanguageNo+1,FALSE)</f>
        <v>Direktversicherung: Lebensversicherungsgeschäft (ohne ALV)</v>
      </c>
      <c r="G119" s="548"/>
      <c r="H119" s="549"/>
      <c r="I119" s="550"/>
      <c r="J119" s="551" cm="1">
        <f t="array" ref="J119">IF(ISBLANK(B119),"",G119+SUMPRODUCT(--($H$6:$H$265=B119),$I$6:$I$265,$C$6:$C$265)*C119-I119)</f>
        <v>0</v>
      </c>
      <c r="K119" s="552"/>
      <c r="L119" s="551">
        <f t="shared" ref="L119:L120" si="44">$J119+$K119</f>
        <v>0</v>
      </c>
      <c r="M119" s="551">
        <f t="shared" si="43"/>
        <v>0</v>
      </c>
      <c r="N119" s="551">
        <f>'SST Balance Sheet BVG'!F119</f>
        <v>0</v>
      </c>
    </row>
    <row r="120" spans="2:14" s="584" customFormat="1" ht="14.25" customHeight="1" x14ac:dyDescent="0.25">
      <c r="B120" s="574">
        <f t="shared" si="42"/>
        <v>120</v>
      </c>
      <c r="C120" s="585"/>
      <c r="D120" s="576">
        <v>106160100</v>
      </c>
      <c r="E120" s="577"/>
      <c r="F120" s="586" t="str">
        <f>VLOOKUP("T.06.102",Translation,LanguageNo+1,FALSE)</f>
        <v>davon Anteil Rückversicherer (Leben) am Überschussfonds</v>
      </c>
      <c r="G120" s="593"/>
      <c r="H120" s="594"/>
      <c r="I120" s="595"/>
      <c r="J120" s="581" cm="1">
        <f t="array" ref="J120">IF(ISBLANK(B120),"",G120+SUMPRODUCT(--($H$6:$H$265=B120),$I$6:$I$265,$C$6:$C$265)*C120-I120)</f>
        <v>0</v>
      </c>
      <c r="K120" s="596"/>
      <c r="L120" s="581">
        <f t="shared" si="44"/>
        <v>0</v>
      </c>
      <c r="M120" s="581">
        <f t="shared" si="43"/>
        <v>0</v>
      </c>
      <c r="N120" s="581">
        <f>'SST Balance Sheet BVG'!F120</f>
        <v>0</v>
      </c>
    </row>
    <row r="121" spans="2:14" s="553" customFormat="1" ht="14.25" customHeight="1" x14ac:dyDescent="0.25">
      <c r="B121" s="544">
        <f t="shared" si="42"/>
        <v>121</v>
      </c>
      <c r="C121" s="545">
        <v>1</v>
      </c>
      <c r="D121" s="546">
        <v>106102000</v>
      </c>
      <c r="E121" s="547" t="s">
        <v>960</v>
      </c>
      <c r="F121" s="546" t="str">
        <f>VLOOKUP("T.06.103",Translation,LanguageNo+1,FALSE)</f>
        <v>Aktive Rückversicherung: Lebensversicherungsgeschäft (ohne ALV)</v>
      </c>
      <c r="G121" s="554"/>
      <c r="H121" s="555"/>
      <c r="I121" s="556"/>
      <c r="J121" s="551" cm="1">
        <f t="array" ref="J121">IF(ISBLANK(B121),"",G121+SUMPRODUCT(--($H$6:$H$265=B121),$I$6:$I$265,$C$6:$C$265)*C121-I121)</f>
        <v>0</v>
      </c>
      <c r="K121" s="552"/>
      <c r="L121" s="551">
        <f t="shared" ref="L121" si="45">$J121+$K121</f>
        <v>0</v>
      </c>
      <c r="M121" s="551">
        <f t="shared" ref="M121:M125" si="46">$N121-$L121</f>
        <v>0</v>
      </c>
      <c r="N121" s="551">
        <f>'SST Balance Sheet BVG'!F121</f>
        <v>0</v>
      </c>
    </row>
    <row r="122" spans="2:14" s="495" customFormat="1" ht="14.25" customHeight="1" x14ac:dyDescent="0.25">
      <c r="B122" s="489">
        <f t="shared" si="42"/>
        <v>122</v>
      </c>
      <c r="C122" s="496"/>
      <c r="D122" s="489">
        <v>106201000</v>
      </c>
      <c r="E122" s="491" t="s">
        <v>961</v>
      </c>
      <c r="F122" s="489" t="str">
        <f>VLOOKUP("T.06.104",Translation,LanguageNo+1,FALSE)</f>
        <v>Direktversicherung: Schadenversicherungsgeschäft</v>
      </c>
      <c r="G122" s="511">
        <f>SUM(G123:G125)</f>
        <v>0</v>
      </c>
      <c r="H122" s="511"/>
      <c r="I122" s="511"/>
      <c r="J122" s="494">
        <f>SUM(J123:J125)</f>
        <v>0</v>
      </c>
      <c r="K122" s="511">
        <f>SUM(K123:K125)</f>
        <v>0</v>
      </c>
      <c r="L122" s="511">
        <f>SUM(L123:L125)</f>
        <v>0</v>
      </c>
      <c r="M122" s="494">
        <f t="shared" si="46"/>
        <v>0</v>
      </c>
      <c r="N122" s="494">
        <f>'SST Balance Sheet BVG'!F122</f>
        <v>0</v>
      </c>
    </row>
    <row r="123" spans="2:14" s="495" customFormat="1" ht="14.25" customHeight="1" x14ac:dyDescent="0.25">
      <c r="B123" s="489">
        <f t="shared" si="42"/>
        <v>123</v>
      </c>
      <c r="C123" s="496">
        <v>1</v>
      </c>
      <c r="D123" s="489"/>
      <c r="E123" s="491"/>
      <c r="F123" s="512" t="str">
        <f>VLOOKUP("T.06.105",Translation,LanguageNo+1,FALSE)</f>
        <v>Direktversicherung: Schadenversicherungsgeschäft - verdientes Geschäft</v>
      </c>
      <c r="G123" s="513"/>
      <c r="H123" s="513"/>
      <c r="I123" s="513"/>
      <c r="J123" s="514" cm="1">
        <f t="array" ref="J123">IF(ISBLANK(B123),"",G123+SUMPRODUCT(--($H$6:$H$265=B123),$I$6:$I$265,$C$6:$C$265)*C123-I123)</f>
        <v>0</v>
      </c>
      <c r="K123" s="515"/>
      <c r="L123" s="514">
        <f t="shared" ref="L123:L125" si="47">$J123+$K123</f>
        <v>0</v>
      </c>
      <c r="M123" s="514">
        <f t="shared" si="46"/>
        <v>0</v>
      </c>
      <c r="N123" s="514">
        <f>'SST Balance Sheet BVG'!F123</f>
        <v>0</v>
      </c>
    </row>
    <row r="124" spans="2:14" s="495" customFormat="1" ht="14.25" customHeight="1" x14ac:dyDescent="0.25">
      <c r="B124" s="489">
        <f t="shared" si="42"/>
        <v>124</v>
      </c>
      <c r="C124" s="496">
        <v>1</v>
      </c>
      <c r="D124" s="489"/>
      <c r="E124" s="491"/>
      <c r="F124" s="512" t="str">
        <f>VLOOKUP("T.06.106",Translation,LanguageNo+1,FALSE)</f>
        <v>Direktversicherung: Schadenversicherungsgeschäft - unverdientes Geschäft</v>
      </c>
      <c r="G124" s="516"/>
      <c r="H124" s="516"/>
      <c r="I124" s="516"/>
      <c r="J124" s="514" cm="1">
        <f t="array" ref="J124">IF(ISBLANK(B124),"",G124+SUMPRODUCT(--($H$6:$H$265=B124),$I$6:$I$265,$C$6:$C$265)*C124-I124)</f>
        <v>0</v>
      </c>
      <c r="K124" s="515"/>
      <c r="L124" s="514">
        <f t="shared" si="47"/>
        <v>0</v>
      </c>
      <c r="M124" s="514">
        <f t="shared" si="46"/>
        <v>0</v>
      </c>
      <c r="N124" s="514">
        <f>'SST Balance Sheet BVG'!F124</f>
        <v>0</v>
      </c>
    </row>
    <row r="125" spans="2:14" s="495" customFormat="1" ht="14.25" customHeight="1" x14ac:dyDescent="0.25">
      <c r="B125" s="489">
        <f t="shared" si="42"/>
        <v>125</v>
      </c>
      <c r="C125" s="496">
        <v>1</v>
      </c>
      <c r="D125" s="489"/>
      <c r="E125" s="489"/>
      <c r="F125" s="517" t="str">
        <f>VLOOKUP("T.06.107",Translation,LanguageNo+1,FALSE)</f>
        <v>Anteil Rückversicherer (Schaden) am Überschussfonds</v>
      </c>
      <c r="G125" s="516"/>
      <c r="H125" s="516"/>
      <c r="I125" s="516"/>
      <c r="J125" s="514" cm="1">
        <f t="array" ref="J125">IF(ISBLANK(B125),"",G125+SUMPRODUCT(--($H$6:$H$265=B125),$I$6:$I$265,$C$6:$C$265)*C125-I125)</f>
        <v>0</v>
      </c>
      <c r="K125" s="515"/>
      <c r="L125" s="514">
        <f t="shared" si="47"/>
        <v>0</v>
      </c>
      <c r="M125" s="514">
        <f t="shared" si="46"/>
        <v>0</v>
      </c>
      <c r="N125" s="514">
        <f>'SST Balance Sheet BVG'!F125</f>
        <v>0</v>
      </c>
    </row>
    <row r="126" spans="2:14" s="495" customFormat="1" ht="14.25" customHeight="1" x14ac:dyDescent="0.25">
      <c r="B126" s="489">
        <f t="shared" si="42"/>
        <v>126</v>
      </c>
      <c r="C126" s="496">
        <v>1</v>
      </c>
      <c r="D126" s="489">
        <v>106202000</v>
      </c>
      <c r="E126" s="491" t="s">
        <v>962</v>
      </c>
      <c r="F126" s="489" t="str">
        <f>VLOOKUP("T.06.108",Translation,LanguageNo+1,FALSE)</f>
        <v>Direktversicherung: Krankenversicherungsgeschäft</v>
      </c>
      <c r="G126" s="505"/>
      <c r="H126" s="518"/>
      <c r="I126" s="519"/>
      <c r="J126" s="494" cm="1">
        <f t="array" ref="J126">IF(ISBLANK(B126),"",G126+SUMPRODUCT(--($H$6:$H$265=B126),$I$6:$I$265,$C$6:$C$265)*C126-I126)</f>
        <v>0</v>
      </c>
      <c r="K126" s="508"/>
      <c r="L126" s="494">
        <f t="shared" ref="L126:L133" si="48">$J126+$K126</f>
        <v>0</v>
      </c>
      <c r="M126" s="494">
        <f t="shared" ref="M126:M133" si="49">$N126-$L126</f>
        <v>0</v>
      </c>
      <c r="N126" s="494">
        <f>'SST Balance Sheet BVG'!F126</f>
        <v>0</v>
      </c>
    </row>
    <row r="127" spans="2:14" s="495" customFormat="1" ht="14.25" customHeight="1" x14ac:dyDescent="0.25">
      <c r="B127" s="489">
        <f t="shared" si="42"/>
        <v>127</v>
      </c>
      <c r="C127" s="496"/>
      <c r="D127" s="489"/>
      <c r="E127" s="489"/>
      <c r="F127" s="517" t="str">
        <f>VLOOKUP("T.06.109",Translation,LanguageNo+1,FALSE)</f>
        <v>davon Anteil Rückversicherer (Kranken) am Überschussfonds</v>
      </c>
      <c r="G127" s="520"/>
      <c r="H127" s="521"/>
      <c r="I127" s="521"/>
      <c r="J127" s="494"/>
      <c r="K127" s="521"/>
      <c r="L127" s="494"/>
      <c r="M127" s="494"/>
      <c r="N127" s="494"/>
    </row>
    <row r="128" spans="2:14" s="495" customFormat="1" ht="14.25" customHeight="1" x14ac:dyDescent="0.25">
      <c r="B128" s="489">
        <f t="shared" si="42"/>
        <v>128</v>
      </c>
      <c r="C128" s="496"/>
      <c r="D128" s="489">
        <v>106203000</v>
      </c>
      <c r="E128" s="491" t="s">
        <v>963</v>
      </c>
      <c r="F128" s="489" t="str">
        <f>VLOOKUP("T.06.110",Translation,LanguageNo+1,FALSE)</f>
        <v>Aktive Rückversicherung: Schadenversicherungsgeschäft</v>
      </c>
      <c r="G128" s="522">
        <f>SUM(G129:G130)</f>
        <v>0</v>
      </c>
      <c r="H128" s="523"/>
      <c r="I128" s="523"/>
      <c r="J128" s="523">
        <f>SUM(J129:J130)</f>
        <v>0</v>
      </c>
      <c r="K128" s="523">
        <f>SUM(K129:K130)</f>
        <v>0</v>
      </c>
      <c r="L128" s="523">
        <f>SUM(L129:L130)</f>
        <v>0</v>
      </c>
      <c r="M128" s="494">
        <f t="shared" si="49"/>
        <v>0</v>
      </c>
      <c r="N128" s="494">
        <f>'SST Balance Sheet BVG'!F128</f>
        <v>0</v>
      </c>
    </row>
    <row r="129" spans="2:14" s="495" customFormat="1" ht="14.25" customHeight="1" x14ac:dyDescent="0.25">
      <c r="B129" s="489">
        <f t="shared" si="42"/>
        <v>129</v>
      </c>
      <c r="C129" s="496">
        <v>1</v>
      </c>
      <c r="D129" s="489"/>
      <c r="E129" s="491"/>
      <c r="F129" s="512" t="str">
        <f>VLOOKUP("T.06.111",Translation,LanguageNo+1,FALSE)</f>
        <v>Aktive Rückversicherung (Schaden) - verdientes Geschäft</v>
      </c>
      <c r="G129" s="516"/>
      <c r="H129" s="524"/>
      <c r="I129" s="525"/>
      <c r="J129" s="514" cm="1">
        <f t="array" ref="J129">IF(ISBLANK(B129),"",G129+SUMPRODUCT(--($H$6:$H$265=B129),$I$6:$I$265,$C$6:$C$265)*C129-I129)</f>
        <v>0</v>
      </c>
      <c r="K129" s="515"/>
      <c r="L129" s="514">
        <f t="shared" si="48"/>
        <v>0</v>
      </c>
      <c r="M129" s="514">
        <f t="shared" si="49"/>
        <v>0</v>
      </c>
      <c r="N129" s="514">
        <f>'SST Balance Sheet BVG'!F129</f>
        <v>0</v>
      </c>
    </row>
    <row r="130" spans="2:14" s="495" customFormat="1" ht="14.25" customHeight="1" x14ac:dyDescent="0.25">
      <c r="B130" s="489">
        <f>ROW(B130)</f>
        <v>130</v>
      </c>
      <c r="C130" s="496">
        <v>1</v>
      </c>
      <c r="D130" s="489"/>
      <c r="E130" s="491"/>
      <c r="F130" s="512" t="str">
        <f>VLOOKUP("T.06.112",Translation,LanguageNo+1,FALSE)</f>
        <v>Aktive Rückversicherung (Schaden) - unverdientes Geschäft</v>
      </c>
      <c r="G130" s="516"/>
      <c r="H130" s="524"/>
      <c r="I130" s="525"/>
      <c r="J130" s="514" cm="1">
        <f t="array" ref="J130">IF(ISBLANK(B130),"",G130+SUMPRODUCT(--($H$6:$H$265=B130),$I$6:$I$265,$C$6:$C$265)*C130-I130)</f>
        <v>0</v>
      </c>
      <c r="K130" s="515"/>
      <c r="L130" s="514">
        <f t="shared" si="48"/>
        <v>0</v>
      </c>
      <c r="M130" s="514">
        <f t="shared" si="49"/>
        <v>0</v>
      </c>
      <c r="N130" s="514">
        <f>'SST Balance Sheet BVG'!F130</f>
        <v>0</v>
      </c>
    </row>
    <row r="131" spans="2:14" s="495" customFormat="1" ht="14.25" customHeight="1" x14ac:dyDescent="0.25">
      <c r="B131" s="489">
        <f>ROW(B131)</f>
        <v>131</v>
      </c>
      <c r="C131" s="496">
        <v>1</v>
      </c>
      <c r="D131" s="489">
        <v>106204000</v>
      </c>
      <c r="E131" s="491" t="s">
        <v>964</v>
      </c>
      <c r="F131" s="489" t="str">
        <f>VLOOKUP("T.06.113",Translation,LanguageNo+1,FALSE)</f>
        <v>Aktive Rückversicherung: Krankenversicherungsgeschäft</v>
      </c>
      <c r="G131" s="505"/>
      <c r="H131" s="506"/>
      <c r="I131" s="507"/>
      <c r="J131" s="494" cm="1">
        <f t="array" ref="J131">IF(ISBLANK(B131),"",G131+SUMPRODUCT(--($H$6:$H$265=B131),$I$6:$I$265,$C$6:$C$265)*C131-I131)</f>
        <v>0</v>
      </c>
      <c r="K131" s="508"/>
      <c r="L131" s="494">
        <f t="shared" si="48"/>
        <v>0</v>
      </c>
      <c r="M131" s="494">
        <f t="shared" si="49"/>
        <v>0</v>
      </c>
      <c r="N131" s="494">
        <f>'SST Balance Sheet BVG'!F131</f>
        <v>0</v>
      </c>
    </row>
    <row r="132" spans="2:14" s="495" customFormat="1" ht="14.25" customHeight="1" x14ac:dyDescent="0.25">
      <c r="B132" s="489">
        <f t="shared" ref="B132:B133" si="50">ROW(B132)</f>
        <v>132</v>
      </c>
      <c r="C132" s="496">
        <v>1</v>
      </c>
      <c r="D132" s="489">
        <v>106301000</v>
      </c>
      <c r="E132" s="491" t="s">
        <v>965</v>
      </c>
      <c r="F132" s="489" t="str">
        <f>VLOOKUP("T.06.114",Translation,LanguageNo+1,FALSE)</f>
        <v>Direktversicherung: Anteilgebundenes Lebensversicherungsgeschäft</v>
      </c>
      <c r="G132" s="505"/>
      <c r="H132" s="506"/>
      <c r="I132" s="507"/>
      <c r="J132" s="494" cm="1">
        <f t="array" ref="J132">IF(ISBLANK(B132),"",G132+SUMPRODUCT(--($H$6:$H$265=B132),$I$6:$I$265,$C$6:$C$265)*C132-I132)</f>
        <v>0</v>
      </c>
      <c r="K132" s="506"/>
      <c r="L132" s="494">
        <f t="shared" si="48"/>
        <v>0</v>
      </c>
      <c r="M132" s="494">
        <f t="shared" si="49"/>
        <v>0</v>
      </c>
      <c r="N132" s="494">
        <f>'SST Balance Sheet BVG'!F132</f>
        <v>0</v>
      </c>
    </row>
    <row r="133" spans="2:14" s="495" customFormat="1" ht="14.25" customHeight="1" x14ac:dyDescent="0.25">
      <c r="B133" s="489">
        <f t="shared" si="50"/>
        <v>133</v>
      </c>
      <c r="C133" s="496">
        <v>1</v>
      </c>
      <c r="D133" s="489">
        <v>106302000</v>
      </c>
      <c r="E133" s="491" t="s">
        <v>966</v>
      </c>
      <c r="F133" s="489" t="str">
        <f>VLOOKUP("T.06.115",Translation,LanguageNo+1,FALSE)</f>
        <v>Aktive Rückversicherung: Anteilgebundenes Lebensversicherungsgeschäft</v>
      </c>
      <c r="G133" s="505"/>
      <c r="H133" s="506"/>
      <c r="I133" s="507"/>
      <c r="J133" s="494" cm="1">
        <f t="array" ref="J133">IF(ISBLANK(B133),"",G133+SUMPRODUCT(--($H$6:$H$265=B133),$I$6:$I$265,$C$6:$C$265)*C133-I133)</f>
        <v>0</v>
      </c>
      <c r="K133" s="521"/>
      <c r="L133" s="494">
        <f t="shared" si="48"/>
        <v>0</v>
      </c>
      <c r="M133" s="494">
        <f t="shared" si="49"/>
        <v>0</v>
      </c>
      <c r="N133" s="494">
        <f>'SST Balance Sheet BVG'!F133</f>
        <v>0</v>
      </c>
    </row>
    <row r="134" spans="2:14" ht="14.25" customHeight="1" x14ac:dyDescent="0.25">
      <c r="B134" s="70"/>
      <c r="C134" s="183"/>
      <c r="D134" s="70"/>
      <c r="E134" s="70"/>
      <c r="F134" s="71"/>
      <c r="G134" s="72"/>
      <c r="H134" s="72"/>
      <c r="I134" s="72"/>
      <c r="J134" s="184"/>
      <c r="K134" s="72"/>
      <c r="L134" s="184"/>
      <c r="M134" s="184"/>
      <c r="N134" s="184"/>
    </row>
    <row r="135" spans="2:14" ht="14.25" customHeight="1" x14ac:dyDescent="0.25">
      <c r="B135" s="38">
        <f t="shared" ref="B135" si="51">ROW(B135)</f>
        <v>135</v>
      </c>
      <c r="C135" s="181"/>
      <c r="D135" s="381">
        <v>107000000</v>
      </c>
      <c r="E135" s="389" t="s">
        <v>967</v>
      </c>
      <c r="F135" s="108" t="str">
        <f>VLOOKUP("T.06.116",Translation,LanguageNo+1,FALSE)</f>
        <v>1.7 Sachanlagen</v>
      </c>
      <c r="G135" s="74">
        <f>SUM(G136:G137)</f>
        <v>0</v>
      </c>
      <c r="H135" s="74"/>
      <c r="I135" s="74"/>
      <c r="J135" s="75">
        <f>SUM(J136:J137)</f>
        <v>0</v>
      </c>
      <c r="K135" s="74">
        <f>SUM(K136:K137)</f>
        <v>0</v>
      </c>
      <c r="L135" s="75">
        <f>SUM(L136:L137)</f>
        <v>0</v>
      </c>
      <c r="M135" s="180">
        <f t="shared" ref="M135:M137" si="52">$N135-$L135</f>
        <v>0</v>
      </c>
      <c r="N135" s="180">
        <f>'SST Balance Sheet BVG'!F135</f>
        <v>0</v>
      </c>
    </row>
    <row r="136" spans="2:14" ht="14.25" customHeight="1" x14ac:dyDescent="0.25">
      <c r="B136" s="38">
        <f t="shared" ref="B136" si="53">ROW(B136)</f>
        <v>136</v>
      </c>
      <c r="C136" s="181">
        <v>1</v>
      </c>
      <c r="D136" s="381">
        <v>107000200</v>
      </c>
      <c r="E136" s="408"/>
      <c r="F136" s="38" t="str">
        <f>VLOOKUP("T.06.117",Translation,LanguageNo+1,FALSE)</f>
        <v>Betriebsliegenschaften</v>
      </c>
      <c r="G136" s="64"/>
      <c r="H136" s="36"/>
      <c r="I136" s="79"/>
      <c r="J136" s="180" cm="1">
        <f t="array" ref="J136">IF(ISBLANK(B136),"",G136+SUMPRODUCT(--($H$6:$H$265=B136),$I$6:$I$265,$C$6:$C$265)*C136-I136)</f>
        <v>0</v>
      </c>
      <c r="K136" s="65"/>
      <c r="L136" s="180">
        <f t="shared" ref="L136:L137" si="54">$J136+$K136</f>
        <v>0</v>
      </c>
      <c r="M136" s="180">
        <f t="shared" si="52"/>
        <v>0</v>
      </c>
      <c r="N136" s="180">
        <f>'SST Balance Sheet BVG'!F136</f>
        <v>0</v>
      </c>
    </row>
    <row r="137" spans="2:14" ht="14.25" customHeight="1" x14ac:dyDescent="0.25">
      <c r="B137" s="38">
        <f t="shared" ref="B137" si="55">ROW(B137)</f>
        <v>137</v>
      </c>
      <c r="C137" s="181">
        <v>1</v>
      </c>
      <c r="D137" s="381" t="s">
        <v>1435</v>
      </c>
      <c r="E137" s="401"/>
      <c r="F137" s="38" t="str">
        <f>VLOOKUP("T.06.118",Translation,LanguageNo+1,FALSE)</f>
        <v>Sonstige Sachanlagen</v>
      </c>
      <c r="G137" s="68"/>
      <c r="H137" s="111"/>
      <c r="I137" s="94"/>
      <c r="J137" s="180" cm="1">
        <f t="array" ref="J137">IF(ISBLANK(B137),"",G137+SUMPRODUCT(--($H$6:$H$265=B137),$I$6:$I$265,$C$6:$C$265)*C137-I137)</f>
        <v>0</v>
      </c>
      <c r="K137" s="182"/>
      <c r="L137" s="180">
        <f t="shared" si="54"/>
        <v>0</v>
      </c>
      <c r="M137" s="180">
        <f t="shared" si="52"/>
        <v>0</v>
      </c>
      <c r="N137" s="180">
        <f>'SST Balance Sheet BVG'!F137</f>
        <v>0</v>
      </c>
    </row>
    <row r="138" spans="2:14" ht="14.25" customHeight="1" x14ac:dyDescent="0.25">
      <c r="B138" s="70"/>
      <c r="C138" s="183"/>
      <c r="D138" s="70"/>
      <c r="E138" s="70"/>
      <c r="F138" s="69"/>
      <c r="G138" s="72"/>
      <c r="H138" s="72"/>
      <c r="I138" s="72"/>
      <c r="J138" s="184"/>
      <c r="K138" s="72"/>
      <c r="L138" s="184"/>
      <c r="M138" s="184"/>
      <c r="N138" s="184"/>
    </row>
    <row r="139" spans="2:14" ht="14.25" customHeight="1" x14ac:dyDescent="0.25">
      <c r="B139" s="38">
        <f t="shared" ref="B139:B147" si="56">ROW(B139)</f>
        <v>139</v>
      </c>
      <c r="C139" s="181">
        <v>1</v>
      </c>
      <c r="D139" s="381">
        <v>108000000</v>
      </c>
      <c r="E139" s="389" t="s">
        <v>968</v>
      </c>
      <c r="F139" s="108" t="str">
        <f>VLOOKUP("T.06.119",Translation,LanguageNo+1,FALSE)</f>
        <v>1.8 Aktivierte Abschlusskosten</v>
      </c>
      <c r="G139" s="40"/>
      <c r="H139" s="39"/>
      <c r="I139" s="112"/>
      <c r="J139" s="180" cm="1">
        <f t="array" ref="J139">IF(ISBLANK(B139),"",G139+SUMPRODUCT(--($H$6:$H$265=B139),$I$6:$I$265,$C$6:$C$265)*C139-I139)</f>
        <v>0</v>
      </c>
      <c r="K139" s="192"/>
      <c r="L139" s="180">
        <f t="shared" ref="L139" si="57">$J139+$K139</f>
        <v>0</v>
      </c>
      <c r="M139" s="180">
        <f t="shared" ref="M139" si="58">$N139-$L139</f>
        <v>0</v>
      </c>
      <c r="N139" s="292">
        <f>'SST Balance Sheet BVG'!F139</f>
        <v>0</v>
      </c>
    </row>
    <row r="140" spans="2:14" s="63" customFormat="1" ht="14.25" customHeight="1" x14ac:dyDescent="0.25">
      <c r="B140" s="70"/>
      <c r="C140" s="183"/>
      <c r="D140" s="70"/>
      <c r="E140" s="70"/>
      <c r="F140" s="184"/>
      <c r="G140" s="72"/>
      <c r="H140" s="72"/>
      <c r="I140" s="72"/>
      <c r="J140" s="184"/>
      <c r="K140" s="72"/>
      <c r="L140" s="184"/>
      <c r="M140" s="184"/>
      <c r="N140" s="184"/>
    </row>
    <row r="141" spans="2:14" ht="14.25" customHeight="1" x14ac:dyDescent="0.25">
      <c r="B141" s="38">
        <f t="shared" si="56"/>
        <v>141</v>
      </c>
      <c r="C141" s="181">
        <v>1</v>
      </c>
      <c r="D141" s="381">
        <v>109000000</v>
      </c>
      <c r="E141" s="389" t="s">
        <v>969</v>
      </c>
      <c r="F141" s="73" t="str">
        <f>VLOOKUP("T.06.120",Translation,LanguageNo+1,FALSE)</f>
        <v>1.9 Immaterielle Vermögenswerte</v>
      </c>
      <c r="G141" s="40"/>
      <c r="H141" s="39"/>
      <c r="I141" s="112"/>
      <c r="J141" s="180" cm="1">
        <f t="array" ref="J141">IF(ISBLANK(B141),"",G141+SUMPRODUCT(--($H$6:$H$265=B141),$I$6:$I$265,$C$6:$C$265)*C141-I141)</f>
        <v>0</v>
      </c>
      <c r="K141" s="192"/>
      <c r="L141" s="180">
        <f t="shared" ref="L141" si="59">$J141+$K141</f>
        <v>0</v>
      </c>
      <c r="M141" s="180">
        <f t="shared" ref="M141" si="60">$N141-$L141</f>
        <v>0</v>
      </c>
      <c r="N141" s="180">
        <f>'SST Balance Sheet BVG'!F141</f>
        <v>0</v>
      </c>
    </row>
    <row r="142" spans="2:14" s="63" customFormat="1" ht="14.25" customHeight="1" x14ac:dyDescent="0.25">
      <c r="B142" s="70"/>
      <c r="C142" s="183"/>
      <c r="D142" s="70"/>
      <c r="E142" s="70"/>
      <c r="F142" s="184"/>
      <c r="G142" s="72"/>
      <c r="H142" s="72"/>
      <c r="I142" s="72"/>
      <c r="J142" s="184"/>
      <c r="K142" s="72"/>
      <c r="L142" s="184"/>
      <c r="M142" s="184"/>
      <c r="N142" s="184"/>
    </row>
    <row r="143" spans="2:14" ht="14.25" customHeight="1" x14ac:dyDescent="0.25">
      <c r="B143" s="38">
        <f t="shared" si="56"/>
        <v>143</v>
      </c>
      <c r="C143" s="187"/>
      <c r="D143" s="381">
        <v>110000000</v>
      </c>
      <c r="E143" s="389" t="s">
        <v>970</v>
      </c>
      <c r="F143" s="382" t="str">
        <f>VLOOKUP("T.06.121",Translation,LanguageNo+1,FALSE)</f>
        <v>1.10 Forderungen aus dem Versicherungsgeschäft</v>
      </c>
      <c r="G143" s="397">
        <f>G144+G145+SUM(G149:G150)</f>
        <v>0</v>
      </c>
      <c r="H143" s="74"/>
      <c r="I143" s="74"/>
      <c r="J143" s="397">
        <f>J144+J145+SUM(J149:J150)</f>
        <v>0</v>
      </c>
      <c r="K143" s="397">
        <f>K144+K145+SUM(K149:K150)</f>
        <v>0</v>
      </c>
      <c r="L143" s="397">
        <f>L144+L145+SUM(L149:L150)</f>
        <v>0</v>
      </c>
      <c r="M143" s="180">
        <f t="shared" ref="M143:M148" si="61">$N143-$L143</f>
        <v>0</v>
      </c>
      <c r="N143" s="180">
        <f>'SST Balance Sheet BVG'!F143</f>
        <v>0</v>
      </c>
    </row>
    <row r="144" spans="2:14" ht="14.25" customHeight="1" x14ac:dyDescent="0.25">
      <c r="B144" s="38">
        <f t="shared" si="56"/>
        <v>144</v>
      </c>
      <c r="C144" s="181">
        <v>1</v>
      </c>
      <c r="D144" s="381">
        <v>110100000</v>
      </c>
      <c r="E144" s="408"/>
      <c r="F144" s="381" t="str">
        <f>VLOOKUP("T.06.122",Translation,LanguageNo+1,FALSE)</f>
        <v>Forderungen gegenüber Versicherungsnehmerinnen und Versicherungsnehmern, Vermittlerinnen und Vermittlern</v>
      </c>
      <c r="G144" s="64"/>
      <c r="H144" s="36"/>
      <c r="I144" s="79"/>
      <c r="J144" s="180" cm="1">
        <f t="array" ref="J144">IF(ISBLANK(B144),"",G144+SUMPRODUCT(--($H$6:$H$265=B144),$I$6:$I$265,$C$6:$C$265)*C144-I144)</f>
        <v>0</v>
      </c>
      <c r="K144" s="65"/>
      <c r="L144" s="180">
        <f t="shared" ref="L144" si="62">$J144+$K144</f>
        <v>0</v>
      </c>
      <c r="M144" s="180">
        <f t="shared" si="61"/>
        <v>0</v>
      </c>
      <c r="N144" s="180">
        <f>'SST Balance Sheet BVG'!F144</f>
        <v>0</v>
      </c>
    </row>
    <row r="145" spans="2:15" ht="14.25" customHeight="1" x14ac:dyDescent="0.25">
      <c r="B145" s="38">
        <f t="shared" si="56"/>
        <v>145</v>
      </c>
      <c r="D145" s="381">
        <v>110200000</v>
      </c>
      <c r="E145" s="408"/>
      <c r="F145" s="381" t="str">
        <f>VLOOKUP("T.06.123",Translation,LanguageNo+1,FALSE)</f>
        <v>Forderungen gegenüber Versicherungs- und Rückversicherungsgesellschaften</v>
      </c>
      <c r="G145" s="37">
        <f>SUM(G146:G148)</f>
        <v>0</v>
      </c>
      <c r="H145" s="37"/>
      <c r="I145" s="37"/>
      <c r="J145" s="190">
        <f>SUM(J146:J148)</f>
        <v>0</v>
      </c>
      <c r="K145" s="37">
        <f>SUM(K146:K148)</f>
        <v>0</v>
      </c>
      <c r="L145" s="190">
        <f>SUM(L146:L148)</f>
        <v>0</v>
      </c>
      <c r="M145" s="180">
        <f t="shared" si="61"/>
        <v>0</v>
      </c>
      <c r="N145" s="180">
        <f>'SST Balance Sheet BVG'!F145</f>
        <v>0</v>
      </c>
    </row>
    <row r="146" spans="2:15" ht="14.25" customHeight="1" x14ac:dyDescent="0.25">
      <c r="B146" s="38">
        <f t="shared" si="56"/>
        <v>146</v>
      </c>
      <c r="C146" s="181">
        <v>1</v>
      </c>
      <c r="D146" s="381">
        <v>110200100</v>
      </c>
      <c r="E146" s="408"/>
      <c r="F146" s="384" t="str">
        <f>VLOOKUP("T.06.124",Translation,LanguageNo+1,FALSE)</f>
        <v>Forderungen gegenüber Versicherungsgesellschaften: abgegebene</v>
      </c>
      <c r="G146" s="84"/>
      <c r="H146" s="106"/>
      <c r="I146" s="429"/>
      <c r="J146" s="83" cm="1">
        <f t="array" ref="J146">IF(ISBLANK(B146),"",G146+SUMPRODUCT(--($H$6:$H$265=B146),$I$6:$I$265,$C$6:$C$265)*C146-I146)</f>
        <v>0</v>
      </c>
      <c r="K146" s="430"/>
      <c r="L146" s="83">
        <f t="shared" ref="L146:L148" si="63">$J146+$K146</f>
        <v>0</v>
      </c>
      <c r="M146" s="83">
        <f t="shared" si="61"/>
        <v>0</v>
      </c>
      <c r="N146" s="83">
        <f>'SST Balance Sheet BVG'!F146</f>
        <v>0</v>
      </c>
    </row>
    <row r="147" spans="2:15" ht="14.25" customHeight="1" x14ac:dyDescent="0.25">
      <c r="B147" s="38">
        <f t="shared" si="56"/>
        <v>147</v>
      </c>
      <c r="C147" s="181">
        <v>1</v>
      </c>
      <c r="D147" s="381">
        <v>110200200</v>
      </c>
      <c r="E147" s="408"/>
      <c r="F147" s="387" t="str">
        <f>VLOOKUP("T.06.125",Translation,LanguageNo+1,FALSE)</f>
        <v>Forderungen gegenüber Versicherungsgesellschaften: übernommene</v>
      </c>
      <c r="G147" s="84"/>
      <c r="H147" s="106"/>
      <c r="I147" s="429"/>
      <c r="J147" s="83" cm="1">
        <f t="array" ref="J147">IF(ISBLANK(B147),"",G147+SUMPRODUCT(--($H$6:$H$265=B147),$I$6:$I$265,$C$6:$C$265)*C147-I147)</f>
        <v>0</v>
      </c>
      <c r="K147" s="430"/>
      <c r="L147" s="83">
        <f t="shared" si="63"/>
        <v>0</v>
      </c>
      <c r="M147" s="83">
        <f t="shared" si="61"/>
        <v>0</v>
      </c>
      <c r="N147" s="83">
        <f>'SST Balance Sheet BVG'!F147</f>
        <v>0</v>
      </c>
    </row>
    <row r="148" spans="2:15" s="63" customFormat="1" ht="14.25" customHeight="1" x14ac:dyDescent="0.25">
      <c r="B148" s="38">
        <f t="shared" ref="B148" si="64">ROW(B148)</f>
        <v>148</v>
      </c>
      <c r="C148" s="181">
        <v>1</v>
      </c>
      <c r="D148" s="381">
        <v>110200300</v>
      </c>
      <c r="E148" s="408"/>
      <c r="F148" s="387" t="str">
        <f>VLOOKUP("T.06.126",Translation,LanguageNo+1,FALSE)</f>
        <v>Forderungen gegenüber Versicherungsgesellschaften: übrige</v>
      </c>
      <c r="G148" s="84"/>
      <c r="H148" s="106"/>
      <c r="I148" s="429"/>
      <c r="J148" s="83" cm="1">
        <f t="array" ref="J148">IF(ISBLANK(B148),"",G148+SUMPRODUCT(--($H$6:$H$265=B148),$I$6:$I$265,$C$6:$C$265)*C148-I148)</f>
        <v>0</v>
      </c>
      <c r="K148" s="430"/>
      <c r="L148" s="83">
        <f t="shared" si="63"/>
        <v>0</v>
      </c>
      <c r="M148" s="83">
        <f t="shared" si="61"/>
        <v>0</v>
      </c>
      <c r="N148" s="83">
        <f>'SST Balance Sheet BVG'!F148</f>
        <v>0</v>
      </c>
      <c r="O148" s="46"/>
    </row>
    <row r="149" spans="2:15" s="63" customFormat="1" ht="14.25" customHeight="1" x14ac:dyDescent="0.25">
      <c r="B149" s="38">
        <f>ROW(B149)</f>
        <v>149</v>
      </c>
      <c r="C149" s="181">
        <v>1</v>
      </c>
      <c r="D149" s="381">
        <v>110300100</v>
      </c>
      <c r="E149" s="401"/>
      <c r="F149" s="381" t="str">
        <f>VLOOKUP("T.06.127",Translation,LanguageNo+1,FALSE)</f>
        <v>Sonstige Forderungen aus Versicherungs- und Rückversicherungstätigkeit</v>
      </c>
      <c r="G149" s="64"/>
      <c r="H149" s="36"/>
      <c r="I149" s="79"/>
      <c r="J149" s="180" cm="1">
        <f t="array" ref="J149">IF(ISBLANK(B149),"",G149+SUMPRODUCT(--($H$6:$H$265=B149),$I$6:$I$265,$C$6:$C$265)*C149-I149)</f>
        <v>0</v>
      </c>
      <c r="K149" s="65"/>
      <c r="L149" s="180">
        <f t="shared" ref="L149:L150" si="65">$J149+$K149</f>
        <v>0</v>
      </c>
      <c r="M149" s="180">
        <f t="shared" ref="M149:M150" si="66">$N149-$L149</f>
        <v>0</v>
      </c>
      <c r="N149" s="180">
        <f>'SST Balance Sheet BVG'!F149</f>
        <v>0</v>
      </c>
      <c r="O149" s="46"/>
    </row>
    <row r="150" spans="2:15" s="63" customFormat="1" ht="14.25" customHeight="1" x14ac:dyDescent="0.25">
      <c r="B150" s="38">
        <f>ROW(B150)</f>
        <v>150</v>
      </c>
      <c r="C150" s="181">
        <v>1</v>
      </c>
      <c r="D150" s="381">
        <v>110400100</v>
      </c>
      <c r="E150" s="401"/>
      <c r="F150" s="381" t="str">
        <f>VLOOKUP("T.06.128",Translation,LanguageNo+1,FALSE)</f>
        <v>Sonstige Depotforderungen</v>
      </c>
      <c r="G150" s="68"/>
      <c r="H150" s="111"/>
      <c r="I150" s="111"/>
      <c r="J150" s="180" cm="1">
        <f t="array" ref="J150">IF(ISBLANK(B150),"",G150+SUMPRODUCT(--($H$6:$H$265=B150),$I$6:$I$265,$C$6:$C$265)*C150-I150)</f>
        <v>0</v>
      </c>
      <c r="K150" s="65"/>
      <c r="L150" s="180">
        <f t="shared" si="65"/>
        <v>0</v>
      </c>
      <c r="M150" s="180">
        <f t="shared" si="66"/>
        <v>0</v>
      </c>
      <c r="N150" s="180">
        <f>'SST Balance Sheet BVG'!F150</f>
        <v>0</v>
      </c>
      <c r="O150" s="46"/>
    </row>
    <row r="151" spans="2:15" ht="14.25" customHeight="1" x14ac:dyDescent="0.25">
      <c r="B151" s="70"/>
      <c r="C151" s="183"/>
      <c r="D151" s="70"/>
      <c r="E151" s="70"/>
      <c r="F151" s="70"/>
      <c r="G151" s="72"/>
      <c r="H151" s="72"/>
      <c r="I151" s="72"/>
      <c r="J151" s="184"/>
      <c r="K151" s="72"/>
      <c r="L151" s="184"/>
      <c r="M151" s="184"/>
      <c r="N151" s="184"/>
    </row>
    <row r="152" spans="2:15" ht="14.25" customHeight="1" x14ac:dyDescent="0.25">
      <c r="B152" s="38">
        <f t="shared" ref="B152" si="67">ROW(B152)</f>
        <v>152</v>
      </c>
      <c r="C152" s="181">
        <v>1</v>
      </c>
      <c r="D152" s="381">
        <v>111000000</v>
      </c>
      <c r="E152" s="389" t="s">
        <v>975</v>
      </c>
      <c r="F152" s="108" t="str">
        <f>VLOOKUP("T.06.129",Translation,LanguageNo+1,FALSE)</f>
        <v>1.11 Übrige Forderungen</v>
      </c>
      <c r="G152" s="40"/>
      <c r="H152" s="39"/>
      <c r="I152" s="39"/>
      <c r="J152" s="180" cm="1">
        <f t="array" ref="J152">IF(ISBLANK(B152),"",G152+SUMPRODUCT(--($H$6:$H$265=B152),$I$6:$I$265,$C$6:$C$265)*C152-I152)</f>
        <v>0</v>
      </c>
      <c r="K152" s="192"/>
      <c r="L152" s="180">
        <f t="shared" ref="L152" si="68">$J152+$K152</f>
        <v>0</v>
      </c>
      <c r="M152" s="180">
        <f t="shared" ref="M152" si="69">$N152-$L152</f>
        <v>0</v>
      </c>
      <c r="N152" s="180">
        <f>'SST Balance Sheet BVG'!F152</f>
        <v>0</v>
      </c>
    </row>
    <row r="153" spans="2:15" ht="14.25" customHeight="1" x14ac:dyDescent="0.25">
      <c r="B153" s="70"/>
      <c r="C153" s="183"/>
      <c r="D153" s="70"/>
      <c r="E153" s="70"/>
      <c r="F153" s="70"/>
      <c r="G153" s="72"/>
      <c r="H153" s="72"/>
      <c r="I153" s="72"/>
      <c r="J153" s="184"/>
      <c r="K153" s="72"/>
      <c r="L153" s="184"/>
      <c r="M153" s="184"/>
      <c r="N153" s="184"/>
    </row>
    <row r="154" spans="2:15" ht="14.25" customHeight="1" x14ac:dyDescent="0.25">
      <c r="B154" s="38">
        <f t="shared" ref="B154" si="70">ROW(B154)</f>
        <v>154</v>
      </c>
      <c r="D154" s="381">
        <v>112000000</v>
      </c>
      <c r="E154" s="389" t="s">
        <v>976</v>
      </c>
      <c r="F154" s="385" t="str">
        <f>VLOOKUP("T.06.130",Translation,LanguageNo+1,FALSE)</f>
        <v>1.12 Sonstige Aktiven</v>
      </c>
      <c r="G154" s="74">
        <f>SUM(G155:G156)</f>
        <v>0</v>
      </c>
      <c r="H154" s="74"/>
      <c r="I154" s="74"/>
      <c r="J154" s="75">
        <f>SUM(J155:J156)</f>
        <v>0</v>
      </c>
      <c r="K154" s="74">
        <f>SUM(K155:K156)</f>
        <v>0</v>
      </c>
      <c r="L154" s="75">
        <f>SUM(L155:L156)</f>
        <v>0</v>
      </c>
      <c r="M154" s="180">
        <f t="shared" ref="M154:M156" si="71">$N154-$L154</f>
        <v>0</v>
      </c>
      <c r="N154" s="180">
        <f>'SST Balance Sheet BVG'!F154</f>
        <v>0</v>
      </c>
    </row>
    <row r="155" spans="2:15" ht="14.25" customHeight="1" x14ac:dyDescent="0.25">
      <c r="B155" s="38">
        <f t="shared" ref="B155:B161" si="72">ROW(B155)</f>
        <v>155</v>
      </c>
      <c r="C155" s="181">
        <v>1</v>
      </c>
      <c r="D155" s="381"/>
      <c r="E155" s="381"/>
      <c r="F155" s="381" t="str">
        <f>VLOOKUP("T.06.131",Translation,LanguageNo+1,FALSE)</f>
        <v>Erhaltene Garantien</v>
      </c>
      <c r="G155" s="64"/>
      <c r="H155" s="36"/>
      <c r="I155" s="79"/>
      <c r="J155" s="180" cm="1">
        <f t="array" ref="J155">IF(ISBLANK(B155),"",G155+SUMPRODUCT(--($H$6:$H$265=B155),$I$6:$I$265,$C$6:$C$265)*C155-I155)</f>
        <v>0</v>
      </c>
      <c r="K155" s="65"/>
      <c r="L155" s="180">
        <f t="shared" ref="L155:L156" si="73">$J155+$K155</f>
        <v>0</v>
      </c>
      <c r="M155" s="180">
        <f t="shared" si="71"/>
        <v>0</v>
      </c>
      <c r="N155" s="180">
        <f>'SST Balance Sheet BVG'!F155</f>
        <v>0</v>
      </c>
    </row>
    <row r="156" spans="2:15" ht="14.25" customHeight="1" x14ac:dyDescent="0.25">
      <c r="B156" s="38">
        <f t="shared" si="72"/>
        <v>156</v>
      </c>
      <c r="C156" s="181">
        <v>1</v>
      </c>
      <c r="D156" s="381"/>
      <c r="E156" s="406"/>
      <c r="F156" s="381" t="str">
        <f>VLOOKUP("T.06.132",Translation,LanguageNo+1,FALSE)</f>
        <v>Sonstige Vermögenswerte</v>
      </c>
      <c r="G156" s="68"/>
      <c r="H156" s="111"/>
      <c r="I156" s="94"/>
      <c r="J156" s="180" cm="1">
        <f t="array" ref="J156">IF(ISBLANK(B156),"",G156+SUMPRODUCT(--($H$6:$H$265=B156),$I$6:$I$265,$C$6:$C$265)*C156-I156)</f>
        <v>0</v>
      </c>
      <c r="K156" s="182"/>
      <c r="L156" s="180">
        <f t="shared" si="73"/>
        <v>0</v>
      </c>
      <c r="M156" s="180">
        <f t="shared" si="71"/>
        <v>0</v>
      </c>
      <c r="N156" s="180">
        <f>'SST Balance Sheet BVG'!F156</f>
        <v>0</v>
      </c>
    </row>
    <row r="157" spans="2:15" s="63" customFormat="1" ht="14.25" customHeight="1" x14ac:dyDescent="0.25">
      <c r="B157" s="70"/>
      <c r="C157" s="183"/>
      <c r="D157" s="70"/>
      <c r="E157" s="70"/>
      <c r="F157" s="70"/>
      <c r="G157" s="72"/>
      <c r="H157" s="72"/>
      <c r="I157" s="72"/>
      <c r="J157" s="184"/>
      <c r="K157" s="72"/>
      <c r="L157" s="184"/>
      <c r="M157" s="184"/>
      <c r="N157" s="184"/>
    </row>
    <row r="158" spans="2:15" ht="14.25" customHeight="1" x14ac:dyDescent="0.25">
      <c r="B158" s="38">
        <f t="shared" si="72"/>
        <v>158</v>
      </c>
      <c r="C158" s="181">
        <v>1</v>
      </c>
      <c r="D158" s="381">
        <v>113000000</v>
      </c>
      <c r="E158" s="389" t="s">
        <v>977</v>
      </c>
      <c r="F158" s="73" t="str">
        <f>VLOOKUP("T.06.133",Translation,LanguageNo+1,FALSE)</f>
        <v>1.13 Nicht einbezahltes Grundkapital</v>
      </c>
      <c r="G158" s="40"/>
      <c r="H158" s="39"/>
      <c r="I158" s="39"/>
      <c r="J158" s="180" cm="1">
        <f t="array" ref="J158">IF(ISBLANK(B158),"",G158+SUMPRODUCT(--($H$6:$H$265=B158),$I$6:$I$265,$C$6:$C$265)*C158-I158)</f>
        <v>0</v>
      </c>
      <c r="K158" s="193"/>
      <c r="L158" s="180">
        <f t="shared" ref="L158" si="74">$J158+$K158</f>
        <v>0</v>
      </c>
      <c r="M158" s="180">
        <f t="shared" ref="M158" si="75">$N158-$L158</f>
        <v>0</v>
      </c>
      <c r="N158" s="180">
        <f>'SST Balance Sheet BVG'!F158</f>
        <v>0</v>
      </c>
    </row>
    <row r="159" spans="2:15" s="63" customFormat="1" ht="14.25" customHeight="1" x14ac:dyDescent="0.25">
      <c r="B159" s="70"/>
      <c r="C159" s="183"/>
      <c r="D159" s="70"/>
      <c r="E159" s="70"/>
      <c r="F159" s="70"/>
      <c r="G159" s="72"/>
      <c r="H159" s="72"/>
      <c r="I159" s="72"/>
      <c r="J159" s="184"/>
      <c r="K159" s="72"/>
      <c r="L159" s="184"/>
      <c r="M159" s="184"/>
      <c r="N159" s="184"/>
    </row>
    <row r="160" spans="2:15" ht="14.25" customHeight="1" x14ac:dyDescent="0.25">
      <c r="B160" s="38">
        <f t="shared" si="72"/>
        <v>160</v>
      </c>
      <c r="D160" s="381">
        <v>114000000</v>
      </c>
      <c r="E160" s="389" t="s">
        <v>978</v>
      </c>
      <c r="F160" s="378" t="str">
        <f>VLOOKUP("T.06.134",Translation,LanguageNo+1,FALSE)</f>
        <v>1.14 Aktive Rechnungsabgrenzungen</v>
      </c>
      <c r="G160" s="74">
        <f>SUM(G161:G164)</f>
        <v>0</v>
      </c>
      <c r="H160" s="74"/>
      <c r="I160" s="74"/>
      <c r="J160" s="75">
        <f>SUM(J161:J164)</f>
        <v>0</v>
      </c>
      <c r="K160" s="74">
        <f>SUM(K161:K164)</f>
        <v>0</v>
      </c>
      <c r="L160" s="75">
        <f>SUM(L161:L164)</f>
        <v>0</v>
      </c>
      <c r="M160" s="180">
        <f t="shared" ref="M160:M164" si="76">$N160-$L160</f>
        <v>0</v>
      </c>
      <c r="N160" s="180">
        <f>'SST Balance Sheet BVG'!F160</f>
        <v>0</v>
      </c>
    </row>
    <row r="161" spans="2:15" ht="14.25" customHeight="1" x14ac:dyDescent="0.25">
      <c r="B161" s="38">
        <f t="shared" si="72"/>
        <v>161</v>
      </c>
      <c r="C161" s="181">
        <v>1</v>
      </c>
      <c r="D161" s="381">
        <v>114000100</v>
      </c>
      <c r="E161" s="408"/>
      <c r="F161" s="391" t="str">
        <f>VLOOKUP("T.06.135",Translation,LanguageNo+1,FALSE)</f>
        <v>Vorausbezahlte Versicherungsleistungen</v>
      </c>
      <c r="G161" s="64"/>
      <c r="H161" s="36"/>
      <c r="I161" s="79"/>
      <c r="J161" s="180" cm="1">
        <f t="array" ref="J161">IF(ISBLANK(B161),"",G161+SUMPRODUCT(--($H$6:$H$265=B161),$I$6:$I$265,$C$6:$C$265)*C161-I161)</f>
        <v>0</v>
      </c>
      <c r="K161" s="79"/>
      <c r="L161" s="180">
        <f t="shared" ref="L161:L164" si="77">$J161+$K161</f>
        <v>0</v>
      </c>
      <c r="M161" s="180">
        <f t="shared" si="76"/>
        <v>0</v>
      </c>
      <c r="N161" s="180">
        <f>'SST Balance Sheet BVG'!F161</f>
        <v>0</v>
      </c>
    </row>
    <row r="162" spans="2:15" s="63" customFormat="1" ht="14.25" customHeight="1" x14ac:dyDescent="0.25">
      <c r="B162" s="38">
        <f t="shared" ref="B162" si="78">ROW(B162)</f>
        <v>162</v>
      </c>
      <c r="C162" s="181">
        <v>1</v>
      </c>
      <c r="D162" s="381">
        <v>114000200</v>
      </c>
      <c r="E162" s="408"/>
      <c r="F162" s="381" t="str">
        <f>VLOOKUP("T.06.136",Translation,LanguageNo+1,FALSE)</f>
        <v>Abgegrenzte Zinsen und Mieten</v>
      </c>
      <c r="G162" s="64"/>
      <c r="H162" s="36"/>
      <c r="I162" s="79"/>
      <c r="J162" s="180" cm="1">
        <f t="array" ref="J162">IF(ISBLANK(B162),"",G162+SUMPRODUCT(--($H$6:$H$265=B162),$I$6:$I$265,$C$6:$C$265)*C162-I162)</f>
        <v>0</v>
      </c>
      <c r="K162" s="79"/>
      <c r="L162" s="180">
        <f t="shared" si="77"/>
        <v>0</v>
      </c>
      <c r="M162" s="180">
        <f t="shared" si="76"/>
        <v>0</v>
      </c>
      <c r="N162" s="180">
        <f>'SST Balance Sheet BVG'!F162</f>
        <v>0</v>
      </c>
      <c r="O162" s="46"/>
    </row>
    <row r="163" spans="2:15" s="63" customFormat="1" ht="14.25" customHeight="1" x14ac:dyDescent="0.25">
      <c r="B163" s="38">
        <f t="shared" ref="B163" si="79">ROW(B163)</f>
        <v>163</v>
      </c>
      <c r="C163" s="181">
        <v>1</v>
      </c>
      <c r="D163" s="381">
        <v>114000300</v>
      </c>
      <c r="E163" s="408"/>
      <c r="F163" s="381" t="str">
        <f>VLOOKUP("T.06.137",Translation,LanguageNo+1,FALSE)</f>
        <v>Latente Steuerforderungen</v>
      </c>
      <c r="G163" s="64"/>
      <c r="H163" s="36"/>
      <c r="I163" s="79"/>
      <c r="J163" s="180" cm="1">
        <f t="array" ref="J163">IF(ISBLANK(B163),"",G163+SUMPRODUCT(--($H$6:$H$265=B163),$I$6:$I$265,$C$6:$C$265)*C163-I163)</f>
        <v>0</v>
      </c>
      <c r="K163" s="79"/>
      <c r="L163" s="180">
        <f t="shared" si="77"/>
        <v>0</v>
      </c>
      <c r="M163" s="180">
        <f t="shared" si="76"/>
        <v>0</v>
      </c>
      <c r="N163" s="292">
        <f>'SST Balance Sheet BVG'!F163</f>
        <v>0</v>
      </c>
      <c r="O163" s="46"/>
    </row>
    <row r="164" spans="2:15" s="63" customFormat="1" ht="14.25" customHeight="1" x14ac:dyDescent="0.25">
      <c r="B164" s="38">
        <f t="shared" ref="B164" si="80">ROW(B164)</f>
        <v>164</v>
      </c>
      <c r="C164" s="181">
        <v>1</v>
      </c>
      <c r="D164" s="381">
        <v>114000400</v>
      </c>
      <c r="E164" s="408"/>
      <c r="F164" s="381" t="str">
        <f>VLOOKUP("T.06.138",Translation,LanguageNo+1,FALSE)</f>
        <v>Sonstige Rechnungsabgrenzungsposten</v>
      </c>
      <c r="G164" s="68"/>
      <c r="H164" s="111"/>
      <c r="I164" s="94"/>
      <c r="J164" s="180" cm="1">
        <f t="array" ref="J164">IF(ISBLANK(B164),"",G164+SUMPRODUCT(--($H$6:$H$265=B164),$I$6:$I$265,$C$6:$C$265)*C164-I164)</f>
        <v>0</v>
      </c>
      <c r="K164" s="182"/>
      <c r="L164" s="180">
        <f t="shared" si="77"/>
        <v>0</v>
      </c>
      <c r="M164" s="180">
        <f t="shared" si="76"/>
        <v>0</v>
      </c>
      <c r="N164" s="180">
        <f>'SST Balance Sheet BVG'!F164</f>
        <v>0</v>
      </c>
      <c r="O164" s="46"/>
    </row>
    <row r="165" spans="2:15" ht="14.25" customHeight="1" x14ac:dyDescent="0.25">
      <c r="B165" s="70"/>
      <c r="C165" s="183"/>
      <c r="D165" s="70"/>
      <c r="E165" s="70"/>
      <c r="F165" s="115"/>
      <c r="G165" s="72"/>
      <c r="H165" s="72"/>
      <c r="I165" s="72"/>
      <c r="J165" s="184"/>
      <c r="K165" s="294"/>
      <c r="L165" s="184"/>
      <c r="M165" s="184"/>
      <c r="N165" s="184"/>
    </row>
    <row r="166" spans="2:15" ht="14.25" customHeight="1" x14ac:dyDescent="0.25">
      <c r="B166" s="38">
        <f>ROW(B166)</f>
        <v>166</v>
      </c>
      <c r="C166" s="187"/>
      <c r="D166" s="381">
        <v>115000000</v>
      </c>
      <c r="E166" s="270"/>
      <c r="F166" s="95" t="str">
        <f>VLOOKUP("T.06.139",Translation,LanguageNo+1,FALSE)</f>
        <v>Total übrige Aktiven</v>
      </c>
      <c r="G166" s="75">
        <f>G92+G103+G111+G113+G118+G135+G139+G141+G143+G152+G154+G158+G160</f>
        <v>0</v>
      </c>
      <c r="H166" s="75"/>
      <c r="I166" s="75"/>
      <c r="J166" s="75">
        <f>J92+J103+J111+J113+J118+J135+J139+J141+J143+J152+J154+J158+J160</f>
        <v>0</v>
      </c>
      <c r="K166" s="75">
        <f>K92+K103+K111+K113+K118+K135+K139+K141+K143+K152+K154+K158+K160</f>
        <v>0</v>
      </c>
      <c r="L166" s="75">
        <f>L92+L103+L111+L113+L118+L135+L139+L141+L143+L152+L154+L158+L160</f>
        <v>0</v>
      </c>
      <c r="M166" s="180">
        <f t="shared" ref="M166" si="81">$N166-$L166</f>
        <v>0</v>
      </c>
      <c r="N166" s="180">
        <f>'SST Balance Sheet BVG'!F166</f>
        <v>0</v>
      </c>
    </row>
    <row r="167" spans="2:15" ht="14.25" customHeight="1" x14ac:dyDescent="0.2">
      <c r="B167" s="70"/>
      <c r="C167" s="183"/>
      <c r="D167" s="70"/>
      <c r="E167" s="70"/>
      <c r="F167" s="71"/>
      <c r="G167" s="72"/>
      <c r="H167" s="72"/>
      <c r="I167" s="72"/>
      <c r="J167" s="194"/>
      <c r="K167" s="72"/>
      <c r="L167" s="184"/>
      <c r="M167" s="184"/>
      <c r="N167" s="184"/>
    </row>
    <row r="168" spans="2:15" ht="14.25" customHeight="1" x14ac:dyDescent="0.25">
      <c r="B168" s="38">
        <f>ROW(B168)</f>
        <v>168</v>
      </c>
      <c r="C168" s="179"/>
      <c r="D168" s="381">
        <v>100000000</v>
      </c>
      <c r="E168" s="389" t="s">
        <v>980</v>
      </c>
      <c r="F168" s="382" t="str">
        <f>VLOOKUP("T.06.140",Translation,LanguageNo+1,FALSE)</f>
        <v>1.15 Total Aktiven</v>
      </c>
      <c r="G168" s="74">
        <f>G88+G166</f>
        <v>0</v>
      </c>
      <c r="H168" s="74"/>
      <c r="I168" s="74"/>
      <c r="J168" s="74">
        <f>J88+J166</f>
        <v>0</v>
      </c>
      <c r="K168" s="74">
        <f>K88+K166</f>
        <v>0</v>
      </c>
      <c r="L168" s="74">
        <f>L88+L166</f>
        <v>0</v>
      </c>
      <c r="M168" s="180">
        <f>$N168-$L168</f>
        <v>0</v>
      </c>
      <c r="N168" s="180">
        <f>'SST Balance Sheet BVG'!F168</f>
        <v>0</v>
      </c>
    </row>
    <row r="169" spans="2:15" ht="14.25" customHeight="1" x14ac:dyDescent="0.25">
      <c r="B169" s="76"/>
      <c r="C169" s="186"/>
      <c r="D169" s="76"/>
      <c r="E169" s="76"/>
      <c r="F169" s="71"/>
      <c r="G169" s="72"/>
      <c r="H169" s="72"/>
      <c r="I169" s="72"/>
      <c r="J169" s="184"/>
      <c r="K169" s="72"/>
      <c r="L169" s="184"/>
      <c r="M169" s="184"/>
      <c r="N169" s="184"/>
    </row>
    <row r="170" spans="2:15" ht="14.25" customHeight="1" x14ac:dyDescent="0.25">
      <c r="B170" s="38">
        <f>ROW(B170)</f>
        <v>170</v>
      </c>
      <c r="D170" s="107"/>
      <c r="E170" s="107"/>
      <c r="F170" s="416" t="str">
        <f>VLOOKUP("T.06.141",Translation,LanguageNo+1,FALSE)</f>
        <v>Verbindlichkeiten</v>
      </c>
      <c r="G170" s="295"/>
      <c r="H170" s="296"/>
      <c r="I170" s="297"/>
      <c r="J170" s="180"/>
      <c r="K170" s="293"/>
      <c r="L170" s="180"/>
      <c r="M170" s="180"/>
      <c r="N170" s="180"/>
    </row>
    <row r="171" spans="2:15" ht="14.25" customHeight="1" x14ac:dyDescent="0.25">
      <c r="B171" s="70"/>
      <c r="C171" s="183"/>
      <c r="D171" s="70"/>
      <c r="E171" s="70"/>
      <c r="F171" s="119"/>
      <c r="G171" s="72"/>
      <c r="H171" s="72"/>
      <c r="I171" s="72"/>
      <c r="J171" s="184"/>
      <c r="K171" s="72"/>
      <c r="L171" s="184"/>
      <c r="M171" s="184"/>
      <c r="N171" s="184"/>
    </row>
    <row r="172" spans="2:15" s="553" customFormat="1" ht="14.25" customHeight="1" x14ac:dyDescent="0.25">
      <c r="B172" s="544">
        <f t="shared" ref="B172:B178" si="82">ROW(B172)</f>
        <v>172</v>
      </c>
      <c r="C172" s="561"/>
      <c r="D172" s="546" t="s">
        <v>1437</v>
      </c>
      <c r="E172" s="562"/>
      <c r="F172" s="563" t="str">
        <f>VLOOKUP("T.06.142",Translation,LanguageNo+1,FALSE)</f>
        <v>2.1 Bestmöglicher Schätzwert der Versicherungsverpflichtungen</v>
      </c>
      <c r="G172" s="564">
        <f>G173+G182+G184+G192+G197+G207</f>
        <v>0</v>
      </c>
      <c r="H172" s="564"/>
      <c r="I172" s="564"/>
      <c r="J172" s="564">
        <f>J173+J182+J184+J192+J197+J207</f>
        <v>0</v>
      </c>
      <c r="K172" s="564">
        <f>K173+K182+K184+K192+K197+K207</f>
        <v>0</v>
      </c>
      <c r="L172" s="564">
        <f>L173+L182+L184+L192+L197+L207</f>
        <v>0</v>
      </c>
      <c r="M172" s="551">
        <f t="shared" ref="M172:M176" si="83">$N172-$L172</f>
        <v>0</v>
      </c>
      <c r="N172" s="551">
        <f>'SST Balance Sheet BVG'!F172</f>
        <v>0</v>
      </c>
    </row>
    <row r="173" spans="2:15" s="553" customFormat="1" ht="14.25" customHeight="1" x14ac:dyDescent="0.25">
      <c r="B173" s="544">
        <f t="shared" si="82"/>
        <v>173</v>
      </c>
      <c r="C173" s="561"/>
      <c r="D173" s="546">
        <v>201101000</v>
      </c>
      <c r="E173" s="547" t="s">
        <v>983</v>
      </c>
      <c r="F173" s="563" t="str">
        <f>VLOOKUP("T.06.143",Translation,LanguageNo+1,FALSE)</f>
        <v>Direktversicherung: Lebensversicherungsgeschäft (ohne ALV)</v>
      </c>
      <c r="G173" s="565">
        <f>G174+SUM(G177:G178)+SUM(G180:G181)</f>
        <v>0</v>
      </c>
      <c r="H173" s="565"/>
      <c r="I173" s="565"/>
      <c r="J173" s="565">
        <f>J174+SUM(J177:J178)+SUM(J180:J181)</f>
        <v>0</v>
      </c>
      <c r="K173" s="565">
        <f>K174+SUM(K177:K178)+SUM(K180:K181)</f>
        <v>0</v>
      </c>
      <c r="L173" s="565">
        <f>L174+SUM(L177:L178)+SUM(L180:L181)</f>
        <v>0</v>
      </c>
      <c r="M173" s="565">
        <f>M174+SUM(M177:M178)+SUM(M180:M181)</f>
        <v>0</v>
      </c>
      <c r="N173" s="551">
        <f>'SST Balance Sheet BVG'!F173</f>
        <v>0</v>
      </c>
    </row>
    <row r="174" spans="2:15" s="553" customFormat="1" ht="14.25" customHeight="1" x14ac:dyDescent="0.25">
      <c r="B174" s="544">
        <f t="shared" si="82"/>
        <v>174</v>
      </c>
      <c r="C174" s="545"/>
      <c r="D174" s="546" t="s">
        <v>1438</v>
      </c>
      <c r="E174" s="562"/>
      <c r="F174" s="546" t="str">
        <f>VLOOKUP("T.06.144",Translation,LanguageNo+1,FALSE)</f>
        <v>Best Estimate der Versicherungsverpflichtungen (Leben): Brutto</v>
      </c>
      <c r="G174" s="565">
        <f>SUM(G175:G176)</f>
        <v>0</v>
      </c>
      <c r="H174" s="565"/>
      <c r="I174" s="565"/>
      <c r="J174" s="565">
        <f>SUM(J175:J176)</f>
        <v>0</v>
      </c>
      <c r="K174" s="565">
        <f>SUM(K175:K176)</f>
        <v>0</v>
      </c>
      <c r="L174" s="565">
        <f>SUM(L175:L176)</f>
        <v>0</v>
      </c>
      <c r="M174" s="565">
        <f>SUM(M175:M176)</f>
        <v>0</v>
      </c>
      <c r="N174" s="551">
        <f>'SST Balance Sheet BVG'!F174</f>
        <v>0</v>
      </c>
    </row>
    <row r="175" spans="2:15" s="553" customFormat="1" ht="14.25" customHeight="1" x14ac:dyDescent="0.25">
      <c r="B175" s="544">
        <f t="shared" si="82"/>
        <v>175</v>
      </c>
      <c r="C175" s="545">
        <v>-1</v>
      </c>
      <c r="D175" s="546"/>
      <c r="E175" s="546"/>
      <c r="F175" s="566" t="str">
        <f>VLOOKUP("T.06.145",Translation,LanguageNo+1,FALSE)</f>
        <v>Einzelgeschäft</v>
      </c>
      <c r="G175" s="567"/>
      <c r="H175" s="568"/>
      <c r="I175" s="569"/>
      <c r="J175" s="570" cm="1">
        <f t="array" ref="J175">IF(ISBLANK(B175),"",G175+SUMPRODUCT(--($H$6:$H$265=B175),$I$6:$I$265,$C$6:$C$265)*C175-I175)</f>
        <v>0</v>
      </c>
      <c r="K175" s="567"/>
      <c r="L175" s="570">
        <f t="shared" ref="L175:L182" si="84">$J175+$K175</f>
        <v>0</v>
      </c>
      <c r="M175" s="570">
        <f t="shared" si="83"/>
        <v>0</v>
      </c>
      <c r="N175" s="570">
        <f>'SST Balance Sheet BVG'!F175</f>
        <v>0</v>
      </c>
    </row>
    <row r="176" spans="2:15" s="553" customFormat="1" ht="14.25" customHeight="1" x14ac:dyDescent="0.25">
      <c r="B176" s="544">
        <f t="shared" si="82"/>
        <v>176</v>
      </c>
      <c r="C176" s="545">
        <v>-1</v>
      </c>
      <c r="D176" s="546"/>
      <c r="E176" s="546"/>
      <c r="F176" s="566" t="str">
        <f>VLOOKUP("T.06.146",Translation,LanguageNo+1,FALSE)</f>
        <v>Kollektivgeschäft</v>
      </c>
      <c r="G176" s="567"/>
      <c r="H176" s="568"/>
      <c r="I176" s="569"/>
      <c r="J176" s="570" cm="1">
        <f t="array" ref="J176">IF(ISBLANK(B176),"",G176+SUMPRODUCT(--($H$6:$H$265=B176),$I$6:$I$265,$C$6:$C$265)*C176-I176)</f>
        <v>0</v>
      </c>
      <c r="K176" s="567"/>
      <c r="L176" s="570">
        <f t="shared" si="84"/>
        <v>0</v>
      </c>
      <c r="M176" s="570">
        <f t="shared" si="83"/>
        <v>0</v>
      </c>
      <c r="N176" s="570">
        <f>'SST Balance Sheet BVG'!F176</f>
        <v>0</v>
      </c>
    </row>
    <row r="177" spans="2:14" s="553" customFormat="1" ht="14.25" customHeight="1" x14ac:dyDescent="0.25">
      <c r="B177" s="544">
        <f t="shared" si="82"/>
        <v>177</v>
      </c>
      <c r="C177" s="545">
        <v>-1</v>
      </c>
      <c r="D177" s="546">
        <v>201140100</v>
      </c>
      <c r="E177" s="562"/>
      <c r="F177" s="546" t="str">
        <f>VLOOKUP("T.06.147",Translation,LanguageNo+1,FALSE)</f>
        <v>Schwankungsrückstellungen und weitere statutarische Rückstellungen (Leben): Brutto</v>
      </c>
      <c r="G177" s="548"/>
      <c r="H177" s="548"/>
      <c r="I177" s="550"/>
      <c r="J177" s="551" cm="1">
        <f t="array" ref="J177">IF(ISBLANK(B177),"",G177+SUMPRODUCT(--($H$6:$H$265=B177),$I$6:$I$265,$C$6:$C$265)*C177-I177)</f>
        <v>0</v>
      </c>
      <c r="K177" s="552"/>
      <c r="L177" s="551">
        <f t="shared" si="84"/>
        <v>0</v>
      </c>
      <c r="M177" s="551">
        <f t="shared" ref="M177:M178" si="85">$N177-$L177</f>
        <v>0</v>
      </c>
      <c r="N177" s="571">
        <f>'SST Balance Sheet BVG'!F177</f>
        <v>0</v>
      </c>
    </row>
    <row r="178" spans="2:14" s="553" customFormat="1" ht="14.25" customHeight="1" x14ac:dyDescent="0.25">
      <c r="B178" s="544">
        <f t="shared" si="82"/>
        <v>178</v>
      </c>
      <c r="C178" s="545">
        <v>-1</v>
      </c>
      <c r="D178" s="546" t="s">
        <v>1439</v>
      </c>
      <c r="E178" s="546"/>
      <c r="F178" s="546" t="str">
        <f>VLOOKUP("T.06.148",Translation,LanguageNo+1,FALSE)</f>
        <v>Best Estimate der sonstigen Versicherungsverpflichtungen (Leben): Brutto</v>
      </c>
      <c r="G178" s="548"/>
      <c r="H178" s="548"/>
      <c r="I178" s="550"/>
      <c r="J178" s="551" cm="1">
        <f t="array" ref="J178">IF(ISBLANK(B178),"",G178+SUMPRODUCT(--($H$6:$H$265=B178),$I$6:$I$265,$C$6:$C$265)*C178-I178)</f>
        <v>0</v>
      </c>
      <c r="K178" s="552"/>
      <c r="L178" s="551">
        <f t="shared" si="84"/>
        <v>0</v>
      </c>
      <c r="M178" s="551">
        <f t="shared" si="85"/>
        <v>0</v>
      </c>
      <c r="N178" s="551">
        <f>'SST Balance Sheet BVG'!F178</f>
        <v>0</v>
      </c>
    </row>
    <row r="179" spans="2:14" s="553" customFormat="1" ht="14.25" customHeight="1" x14ac:dyDescent="0.25">
      <c r="B179" s="544">
        <f>ROW(B179)</f>
        <v>179</v>
      </c>
      <c r="C179" s="561"/>
      <c r="D179" s="546">
        <v>201150100</v>
      </c>
      <c r="E179" s="562"/>
      <c r="F179" s="566" t="str">
        <f>VLOOKUP("T.06.149",Translation,LanguageNo+1,FALSE)</f>
        <v>davon Zillmerabschlag (Leben): Brutto</v>
      </c>
      <c r="G179" s="567"/>
      <c r="H179" s="572"/>
      <c r="I179" s="572"/>
      <c r="J179" s="551"/>
      <c r="K179" s="572"/>
      <c r="L179" s="551"/>
      <c r="M179" s="551"/>
      <c r="N179" s="573"/>
    </row>
    <row r="180" spans="2:14" s="553" customFormat="1" ht="14.25" customHeight="1" x14ac:dyDescent="0.25">
      <c r="B180" s="544">
        <f>ROW(B180)</f>
        <v>180</v>
      </c>
      <c r="C180" s="545">
        <v>-1</v>
      </c>
      <c r="D180" s="546">
        <v>201160100</v>
      </c>
      <c r="E180" s="562"/>
      <c r="F180" s="546" t="str">
        <f>VLOOKUP("T.06.150",Translation,LanguageNo+1,FALSE)</f>
        <v>Rückstellungen für vertragliche Überschussbeteiligungen (Leben): Brutto</v>
      </c>
      <c r="G180" s="548"/>
      <c r="H180" s="548"/>
      <c r="I180" s="550"/>
      <c r="J180" s="551" cm="1">
        <f t="array" ref="J180">IF(ISBLANK(B180),"",G180+SUMPRODUCT(--($H$6:$H$265=B180),$I$6:$I$265,$C$6:$C$265)*C180-I180)</f>
        <v>0</v>
      </c>
      <c r="K180" s="552"/>
      <c r="L180" s="551">
        <f t="shared" si="84"/>
        <v>0</v>
      </c>
      <c r="M180" s="551">
        <f t="shared" ref="M180:M182" si="86">$N180-$L180</f>
        <v>0</v>
      </c>
      <c r="N180" s="551">
        <f>'SST Balance Sheet BVG'!F180</f>
        <v>0</v>
      </c>
    </row>
    <row r="181" spans="2:14" s="584" customFormat="1" ht="14.25" customHeight="1" x14ac:dyDescent="0.25">
      <c r="B181" s="574">
        <f>ROW(B181)</f>
        <v>181</v>
      </c>
      <c r="C181" s="575">
        <v>-1</v>
      </c>
      <c r="D181" s="576">
        <v>201170100</v>
      </c>
      <c r="E181" s="577"/>
      <c r="F181" s="578" t="str">
        <f>VLOOKUP("T.06.151",Translation,LanguageNo+1,FALSE)</f>
        <v>Rückstellungen für Überschussfonds (Leben): Brutto</v>
      </c>
      <c r="G181" s="579"/>
      <c r="H181" s="579"/>
      <c r="I181" s="580"/>
      <c r="J181" s="581" cm="1">
        <f t="array" ref="J181">IF(ISBLANK(B181),"",G181+SUMPRODUCT(--($H$6:$H$265=B181),$I$6:$I$265,$C$6:$C$265)*C181-I181)</f>
        <v>0</v>
      </c>
      <c r="K181" s="582"/>
      <c r="L181" s="581">
        <f t="shared" si="84"/>
        <v>0</v>
      </c>
      <c r="M181" s="583">
        <f t="shared" si="86"/>
        <v>0</v>
      </c>
      <c r="N181" s="581">
        <f>'SST Balance Sheet BVG'!F181</f>
        <v>0</v>
      </c>
    </row>
    <row r="182" spans="2:14" s="553" customFormat="1" ht="14.25" customHeight="1" x14ac:dyDescent="0.25">
      <c r="B182" s="544">
        <f>ROW(B182)</f>
        <v>182</v>
      </c>
      <c r="C182" s="545">
        <v>-1</v>
      </c>
      <c r="D182" s="546">
        <v>201102000</v>
      </c>
      <c r="E182" s="547" t="s">
        <v>981</v>
      </c>
      <c r="F182" s="557" t="str">
        <f>VLOOKUP("T.06.152",Translation,LanguageNo+1,FALSE)</f>
        <v>Aktive Rückversicherung: Lebensversicherungsgeschäft (ohne ALV)</v>
      </c>
      <c r="G182" s="558"/>
      <c r="H182" s="558"/>
      <c r="I182" s="559"/>
      <c r="J182" s="551" cm="1">
        <f t="array" ref="J182">IF(ISBLANK(B182),"",G182+SUMPRODUCT(--($H$6:$H$265=B182),$I$6:$I$265,$C$6:$C$265)*C182-I182)</f>
        <v>0</v>
      </c>
      <c r="K182" s="560"/>
      <c r="L182" s="551">
        <f t="shared" si="84"/>
        <v>0</v>
      </c>
      <c r="M182" s="551">
        <f t="shared" si="86"/>
        <v>0</v>
      </c>
      <c r="N182" s="551">
        <f>'SST Balance Sheet BVG'!F182</f>
        <v>0</v>
      </c>
    </row>
    <row r="183" spans="2:14" ht="14.25" customHeight="1" x14ac:dyDescent="0.25">
      <c r="B183" s="70"/>
      <c r="C183" s="183"/>
      <c r="D183" s="70"/>
      <c r="E183" s="70"/>
      <c r="F183" s="71"/>
      <c r="G183" s="72"/>
      <c r="H183" s="72"/>
      <c r="I183" s="72"/>
      <c r="J183" s="184"/>
      <c r="K183" s="72"/>
      <c r="L183" s="184"/>
      <c r="M183" s="184"/>
      <c r="N183" s="184"/>
    </row>
    <row r="184" spans="2:14" s="495" customFormat="1" ht="14.25" customHeight="1" x14ac:dyDescent="0.25">
      <c r="B184" s="489">
        <f t="shared" ref="B184:B186" si="87">ROW(B184)</f>
        <v>184</v>
      </c>
      <c r="C184" s="496"/>
      <c r="D184" s="489">
        <v>201201000</v>
      </c>
      <c r="E184" s="491" t="s">
        <v>982</v>
      </c>
      <c r="F184" s="503" t="str">
        <f>VLOOKUP("T.06.153",Translation,LanguageNo+1,FALSE)</f>
        <v>Direktversicherung: Schadenversicherungsgeschäft</v>
      </c>
      <c r="G184" s="493">
        <f>G185+SUM(G187:G191)</f>
        <v>0</v>
      </c>
      <c r="H184" s="493"/>
      <c r="I184" s="493"/>
      <c r="J184" s="493">
        <f>J185+SUM(J187:J191)</f>
        <v>0</v>
      </c>
      <c r="K184" s="493">
        <f>K185+SUM(K187:K191)</f>
        <v>0</v>
      </c>
      <c r="L184" s="493">
        <f>L185+SUM(L187:L191)</f>
        <v>0</v>
      </c>
      <c r="M184" s="494">
        <f t="shared" ref="M184:M195" si="88">$N184-$L184</f>
        <v>0</v>
      </c>
      <c r="N184" s="494">
        <f>'SST Balance Sheet BVG'!F184</f>
        <v>0</v>
      </c>
    </row>
    <row r="185" spans="2:14" s="495" customFormat="1" ht="14.25" customHeight="1" x14ac:dyDescent="0.25">
      <c r="B185" s="489">
        <f t="shared" si="87"/>
        <v>185</v>
      </c>
      <c r="C185" s="496">
        <v>-1</v>
      </c>
      <c r="D185" s="489"/>
      <c r="E185" s="491"/>
      <c r="F185" s="526" t="str">
        <f>VLOOKUP("T.06.154",Translation,LanguageNo+1,FALSE)</f>
        <v>Best Estimate der Versicherungsverpflichtungen (Schaden): Brutto - verdientes Geschäft</v>
      </c>
      <c r="G185" s="505"/>
      <c r="H185" s="506"/>
      <c r="I185" s="507"/>
      <c r="J185" s="494" cm="1">
        <f t="array" ref="J185">IF(ISBLANK(B185),"",G185+SUMPRODUCT(--($H$6:$H$265=B185),$I$6:$I$265,$C$6:$C$265)*C185-I185)</f>
        <v>0</v>
      </c>
      <c r="K185" s="521"/>
      <c r="L185" s="494">
        <f t="shared" ref="L185" si="89">$J185+$K185</f>
        <v>0</v>
      </c>
      <c r="M185" s="494">
        <f t="shared" si="88"/>
        <v>0</v>
      </c>
      <c r="N185" s="494">
        <f>'SST Balance Sheet BVG'!F185</f>
        <v>0</v>
      </c>
    </row>
    <row r="186" spans="2:14" s="495" customFormat="1" ht="14.25" customHeight="1" x14ac:dyDescent="0.25">
      <c r="B186" s="489">
        <f t="shared" si="87"/>
        <v>186</v>
      </c>
      <c r="C186" s="527"/>
      <c r="D186" s="489"/>
      <c r="E186" s="489"/>
      <c r="F186" s="501" t="str">
        <f>VLOOKUP("T.06.155",Translation,LanguageNo+1,FALSE)</f>
        <v>davon Best Estimate der Verpflichtungen des UVG-Bestandes: Brutto</v>
      </c>
      <c r="G186" s="516"/>
      <c r="H186" s="521"/>
      <c r="I186" s="521"/>
      <c r="J186" s="494"/>
      <c r="K186" s="521"/>
      <c r="L186" s="494"/>
      <c r="M186" s="494"/>
      <c r="N186" s="514">
        <f>'SST Balance Sheet BVG'!F186</f>
        <v>0</v>
      </c>
    </row>
    <row r="187" spans="2:14" s="495" customFormat="1" ht="14.25" customHeight="1" x14ac:dyDescent="0.25">
      <c r="B187" s="489">
        <f t="shared" ref="B187:B200" si="90">ROW(B187)</f>
        <v>187</v>
      </c>
      <c r="C187" s="496">
        <v>-1</v>
      </c>
      <c r="D187" s="489"/>
      <c r="E187" s="489"/>
      <c r="F187" s="528" t="str">
        <f>VLOOKUP("T.06.156",Translation,LanguageNo+1,FALSE)</f>
        <v>Best Estimate der Versicherungsverpflichtungen (Schaden): Brutto - unverdientes Geschäft</v>
      </c>
      <c r="G187" s="505"/>
      <c r="H187" s="505"/>
      <c r="I187" s="507"/>
      <c r="J187" s="494" cm="1">
        <f t="array" ref="J187">IF(ISBLANK(B187),"",G187+SUMPRODUCT(--($H$6:$H$265=B187),$I$6:$I$265,$C$6:$C$265)*C187-I187)</f>
        <v>0</v>
      </c>
      <c r="K187" s="508"/>
      <c r="L187" s="494">
        <f>$J187+$K187</f>
        <v>0</v>
      </c>
      <c r="M187" s="494">
        <f t="shared" si="88"/>
        <v>0</v>
      </c>
      <c r="N187" s="494">
        <f>'SST Balance Sheet BVG'!F187</f>
        <v>0</v>
      </c>
    </row>
    <row r="188" spans="2:14" s="495" customFormat="1" ht="14.25" customHeight="1" x14ac:dyDescent="0.25">
      <c r="B188" s="489">
        <f t="shared" si="90"/>
        <v>188</v>
      </c>
      <c r="C188" s="496">
        <v>-1</v>
      </c>
      <c r="D188" s="489"/>
      <c r="E188" s="491"/>
      <c r="F188" s="489" t="str">
        <f>VLOOKUP("T.06.157",Translation,LanguageNo+1,FALSE)</f>
        <v>Schwankungsrückstellungen und weitere statutarische Rückstellungen (Schaden): Brutto</v>
      </c>
      <c r="G188" s="505"/>
      <c r="H188" s="505"/>
      <c r="I188" s="507"/>
      <c r="J188" s="494" cm="1">
        <f t="array" ref="J188">IF(ISBLANK(B188),"",G188+SUMPRODUCT(--($H$6:$H$265=B188),$I$6:$I$265,$C$6:$C$265)*C188-I188)</f>
        <v>0</v>
      </c>
      <c r="K188" s="508"/>
      <c r="L188" s="494">
        <f>$J188+$K188</f>
        <v>0</v>
      </c>
      <c r="M188" s="494">
        <f t="shared" si="88"/>
        <v>0</v>
      </c>
      <c r="N188" s="529">
        <f>'SST Balance Sheet BVG'!F188</f>
        <v>0</v>
      </c>
    </row>
    <row r="189" spans="2:14" s="495" customFormat="1" ht="14.25" customHeight="1" x14ac:dyDescent="0.25">
      <c r="B189" s="489">
        <f t="shared" si="90"/>
        <v>189</v>
      </c>
      <c r="C189" s="496">
        <v>-1</v>
      </c>
      <c r="D189" s="489"/>
      <c r="E189" s="530"/>
      <c r="F189" s="489" t="str">
        <f>VLOOKUP("T.06.158",Translation,LanguageNo+1,FALSE)</f>
        <v>Best Estimate der sonstigen Versicherungsverpflichtungen (Schaden): Brutto</v>
      </c>
      <c r="G189" s="505"/>
      <c r="H189" s="505"/>
      <c r="I189" s="507"/>
      <c r="J189" s="494" cm="1">
        <f t="array" ref="J189">IF(ISBLANK(B189),"",G189+SUMPRODUCT(--($H$6:$H$265=B189),$I$6:$I$265,$C$6:$C$265)*C189-I189)</f>
        <v>0</v>
      </c>
      <c r="K189" s="508"/>
      <c r="L189" s="494">
        <f>$J189+$K189</f>
        <v>0</v>
      </c>
      <c r="M189" s="494">
        <f t="shared" si="88"/>
        <v>0</v>
      </c>
      <c r="N189" s="494">
        <f>'SST Balance Sheet BVG'!F189</f>
        <v>0</v>
      </c>
    </row>
    <row r="190" spans="2:14" s="495" customFormat="1" ht="14.25" customHeight="1" x14ac:dyDescent="0.25">
      <c r="B190" s="489">
        <f t="shared" si="90"/>
        <v>190</v>
      </c>
      <c r="C190" s="496">
        <v>-1</v>
      </c>
      <c r="D190" s="489"/>
      <c r="E190" s="491"/>
      <c r="F190" s="489" t="str">
        <f>VLOOKUP("T.06.159",Translation,LanguageNo+1,FALSE)</f>
        <v>Rückstellungen für vertragliche Überschussbeteiligungen (Schaden): Brutto</v>
      </c>
      <c r="G190" s="520"/>
      <c r="H190" s="520"/>
      <c r="I190" s="531"/>
      <c r="J190" s="494" cm="1">
        <f t="array" ref="J190">IF(ISBLANK(B190),"",G190+SUMPRODUCT(--($H$6:$H$265=B190),$I$6:$I$265,$C$6:$C$265)*C190-I190)</f>
        <v>0</v>
      </c>
      <c r="K190" s="532"/>
      <c r="L190" s="494">
        <f>$J190+$K190</f>
        <v>0</v>
      </c>
      <c r="M190" s="494">
        <f t="shared" si="88"/>
        <v>0</v>
      </c>
      <c r="N190" s="494">
        <f>'SST Balance Sheet BVG'!F190</f>
        <v>0</v>
      </c>
    </row>
    <row r="191" spans="2:14" s="495" customFormat="1" ht="14.25" customHeight="1" x14ac:dyDescent="0.25">
      <c r="B191" s="489">
        <f t="shared" si="90"/>
        <v>191</v>
      </c>
      <c r="C191" s="496">
        <v>-1</v>
      </c>
      <c r="D191" s="489"/>
      <c r="E191" s="491"/>
      <c r="F191" s="489" t="str">
        <f>VLOOKUP("T.06.160",Translation,LanguageNo+1,FALSE)</f>
        <v>Rückstellungen für Überschussfonds (Schaden): Brutto</v>
      </c>
      <c r="G191" s="520"/>
      <c r="H191" s="533"/>
      <c r="I191" s="531"/>
      <c r="J191" s="494" cm="1">
        <f t="array" ref="J191">IF(ISBLANK(B191),"",G191+SUMPRODUCT(--($H$6:$H$265=B191),$I$6:$I$265,$C$6:$C$265)*C191-I191)</f>
        <v>0</v>
      </c>
      <c r="K191" s="532"/>
      <c r="L191" s="494">
        <f>$J191+$K191</f>
        <v>0</v>
      </c>
      <c r="M191" s="494">
        <f t="shared" si="88"/>
        <v>0</v>
      </c>
      <c r="N191" s="494">
        <f>'SST Balance Sheet BVG'!F191</f>
        <v>0</v>
      </c>
    </row>
    <row r="192" spans="2:14" s="495" customFormat="1" ht="14.25" customHeight="1" x14ac:dyDescent="0.25">
      <c r="B192" s="489">
        <f t="shared" si="90"/>
        <v>192</v>
      </c>
      <c r="C192" s="496"/>
      <c r="D192" s="489">
        <v>201203000</v>
      </c>
      <c r="E192" s="491" t="s">
        <v>984</v>
      </c>
      <c r="F192" s="503" t="str">
        <f>VLOOKUP("T.06.161",Translation,LanguageNo+1,FALSE)</f>
        <v>Aktive Rückversicherung: Schadenversicherungsgeschäft</v>
      </c>
      <c r="G192" s="534">
        <f>SUM(G193:G195)</f>
        <v>0</v>
      </c>
      <c r="H192" s="534"/>
      <c r="I192" s="534"/>
      <c r="J192" s="535">
        <f>SUM(J193:J195)</f>
        <v>0</v>
      </c>
      <c r="K192" s="534">
        <f>SUM(K193:K195)</f>
        <v>0</v>
      </c>
      <c r="L192" s="535">
        <f>SUM(L193:L195)</f>
        <v>0</v>
      </c>
      <c r="M192" s="494">
        <f t="shared" si="88"/>
        <v>0</v>
      </c>
      <c r="N192" s="494">
        <f>'SST Balance Sheet BVG'!F192</f>
        <v>0</v>
      </c>
    </row>
    <row r="193" spans="2:14" s="495" customFormat="1" ht="14.25" customHeight="1" x14ac:dyDescent="0.25">
      <c r="B193" s="489">
        <f t="shared" si="90"/>
        <v>193</v>
      </c>
      <c r="C193" s="496">
        <v>-1</v>
      </c>
      <c r="D193" s="489"/>
      <c r="E193" s="491"/>
      <c r="F193" s="528" t="str">
        <f>VLOOKUP("T.06.162",Translation,LanguageNo+1,FALSE)</f>
        <v>Aktive Rückversicherung: Best Estimate der Versicherungsverpflichtungen (Schaden) - verdientes Geschäft</v>
      </c>
      <c r="G193" s="534"/>
      <c r="H193" s="534"/>
      <c r="I193" s="536"/>
      <c r="J193" s="494" cm="1">
        <f t="array" ref="J193">IF(ISBLANK(B193),"",G193+SUMPRODUCT(--($H$6:$H$265=B193),$I$6:$I$265,$C$6:$C$265)*C193-I193)</f>
        <v>0</v>
      </c>
      <c r="K193" s="532"/>
      <c r="L193" s="494">
        <f>$J193+$K193</f>
        <v>0</v>
      </c>
      <c r="M193" s="494">
        <f t="shared" si="88"/>
        <v>0</v>
      </c>
      <c r="N193" s="494">
        <f>'SST Balance Sheet BVG'!F193</f>
        <v>0</v>
      </c>
    </row>
    <row r="194" spans="2:14" s="495" customFormat="1" ht="14.25" customHeight="1" x14ac:dyDescent="0.25">
      <c r="B194" s="489">
        <f t="shared" si="90"/>
        <v>194</v>
      </c>
      <c r="C194" s="496">
        <v>-1</v>
      </c>
      <c r="D194" s="489"/>
      <c r="E194" s="491"/>
      <c r="F194" s="528" t="str">
        <f>VLOOKUP("T.06.163",Translation,LanguageNo+1,FALSE)</f>
        <v>Aktive Rückversicherung: Best Estimate der Versicherungsverpflichtungen (Schaden) - unverdientes Geschäft</v>
      </c>
      <c r="G194" s="520"/>
      <c r="H194" s="520"/>
      <c r="I194" s="531"/>
      <c r="J194" s="494" cm="1">
        <f t="array" ref="J194">IF(ISBLANK(B194),"",G194+SUMPRODUCT(--($H$6:$H$265=B194),$I$6:$I$265,$C$6:$C$265)*C194-I194)</f>
        <v>0</v>
      </c>
      <c r="K194" s="532"/>
      <c r="L194" s="494">
        <f>$J194+$K194</f>
        <v>0</v>
      </c>
      <c r="M194" s="494">
        <f t="shared" si="88"/>
        <v>0</v>
      </c>
      <c r="N194" s="494">
        <f>'SST Balance Sheet BVG'!F194</f>
        <v>0</v>
      </c>
    </row>
    <row r="195" spans="2:14" s="495" customFormat="1" ht="14.25" customHeight="1" x14ac:dyDescent="0.25">
      <c r="B195" s="489">
        <f t="shared" si="90"/>
        <v>195</v>
      </c>
      <c r="C195" s="496">
        <v>-1</v>
      </c>
      <c r="D195" s="489"/>
      <c r="E195" s="491"/>
      <c r="F195" s="528" t="str">
        <f>VLOOKUP("T.06.164",Translation,LanguageNo+1,FALSE)</f>
        <v>Aktive Rückversicherung: Best Estimate der sonstigen Versicherungsverpflichtungen (Schaden)</v>
      </c>
      <c r="G195" s="520"/>
      <c r="H195" s="520"/>
      <c r="I195" s="531"/>
      <c r="J195" s="494" cm="1">
        <f t="array" ref="J195">IF(ISBLANK(B195),"",G195+SUMPRODUCT(--($H$6:$H$265=B195),$I$6:$I$265,$C$6:$C$265)*C195-I195)</f>
        <v>0</v>
      </c>
      <c r="K195" s="532"/>
      <c r="L195" s="494">
        <f>$J195+$K195</f>
        <v>0</v>
      </c>
      <c r="M195" s="494">
        <f t="shared" si="88"/>
        <v>0</v>
      </c>
      <c r="N195" s="494">
        <f>'SST Balance Sheet BVG'!F195</f>
        <v>0</v>
      </c>
    </row>
    <row r="196" spans="2:14" s="495" customFormat="1" ht="14.25" customHeight="1" x14ac:dyDescent="0.25">
      <c r="B196" s="489"/>
      <c r="C196" s="490"/>
      <c r="D196" s="489"/>
      <c r="E196" s="489"/>
      <c r="F196" s="494"/>
      <c r="G196" s="502"/>
      <c r="H196" s="502"/>
      <c r="I196" s="502"/>
      <c r="J196" s="494"/>
      <c r="K196" s="502"/>
      <c r="L196" s="494"/>
      <c r="M196" s="494"/>
      <c r="N196" s="494"/>
    </row>
    <row r="197" spans="2:14" s="495" customFormat="1" ht="14.25" customHeight="1" x14ac:dyDescent="0.25">
      <c r="B197" s="489">
        <f t="shared" si="90"/>
        <v>197</v>
      </c>
      <c r="C197" s="496"/>
      <c r="D197" s="489">
        <v>201202000</v>
      </c>
      <c r="E197" s="491" t="s">
        <v>1011</v>
      </c>
      <c r="F197" s="537" t="str">
        <f>VLOOKUP("T.06.165",Translation,LanguageNo+1,FALSE)</f>
        <v>Direktversicherung: Krankenversicherungsgeschäft</v>
      </c>
      <c r="G197" s="493">
        <f>G198+SUM(G201:G206)</f>
        <v>0</v>
      </c>
      <c r="H197" s="538"/>
      <c r="I197" s="538"/>
      <c r="J197" s="493">
        <f>J198+SUM(J201:J206)</f>
        <v>0</v>
      </c>
      <c r="K197" s="493">
        <f>K198+SUM(K201:K206)</f>
        <v>0</v>
      </c>
      <c r="L197" s="493">
        <f>L198+SUM(L201:L206)</f>
        <v>0</v>
      </c>
      <c r="M197" s="494">
        <f t="shared" ref="M197:M205" si="91">$N197-$L197</f>
        <v>0</v>
      </c>
      <c r="N197" s="494">
        <f>'SST Balance Sheet BVG'!F197</f>
        <v>0</v>
      </c>
    </row>
    <row r="198" spans="2:14" s="495" customFormat="1" ht="14.25" customHeight="1" x14ac:dyDescent="0.25">
      <c r="B198" s="489">
        <f t="shared" si="90"/>
        <v>198</v>
      </c>
      <c r="C198" s="496"/>
      <c r="D198" s="489"/>
      <c r="E198" s="489"/>
      <c r="F198" s="539" t="str">
        <f>VLOOKUP("T.06.166",Translation,LanguageNo+1,FALSE)</f>
        <v>Best Estimate der Versicherungsverpflichtungen (Kranken): Brutto - verdientes Geschäft</v>
      </c>
      <c r="G198" s="538">
        <f>SUM(G199:G200)</f>
        <v>0</v>
      </c>
      <c r="H198" s="538"/>
      <c r="I198" s="538"/>
      <c r="J198" s="538">
        <f>SUM(J199:J200)</f>
        <v>0</v>
      </c>
      <c r="K198" s="538">
        <f>SUM(K199:K200)</f>
        <v>0</v>
      </c>
      <c r="L198" s="538">
        <f>SUM(L199:L200)</f>
        <v>0</v>
      </c>
      <c r="M198" s="494">
        <f t="shared" si="91"/>
        <v>0</v>
      </c>
      <c r="N198" s="494">
        <f>'SST Balance Sheet BVG'!F198</f>
        <v>0</v>
      </c>
    </row>
    <row r="199" spans="2:14" s="495" customFormat="1" ht="14.25" customHeight="1" x14ac:dyDescent="0.25">
      <c r="B199" s="489">
        <f t="shared" si="90"/>
        <v>199</v>
      </c>
      <c r="C199" s="496">
        <v>-1</v>
      </c>
      <c r="D199" s="489"/>
      <c r="E199" s="489"/>
      <c r="F199" s="540" t="str">
        <f>VLOOKUP("T.06.167",Translation,LanguageNo+1,FALSE)</f>
        <v>Best Estimate der Versicherungsverpflichtungen Einzelkranken (ADISD02100 - ADISD02400): Brutto</v>
      </c>
      <c r="G199" s="513"/>
      <c r="H199" s="513"/>
      <c r="I199" s="513"/>
      <c r="J199" s="514" cm="1">
        <f t="array" ref="J199">IF(ISBLANK(B199),"",G199+SUMPRODUCT(--($H$6:$H$265=B199),$I$6:$I$265,$C$6:$C$265)*C199-I199)</f>
        <v>0</v>
      </c>
      <c r="K199" s="515"/>
      <c r="L199" s="514">
        <f t="shared" ref="L199:L205" si="92">$J199+$K199</f>
        <v>0</v>
      </c>
      <c r="M199" s="514">
        <f t="shared" si="91"/>
        <v>0</v>
      </c>
      <c r="N199" s="514">
        <f>'SST Balance Sheet BVG'!F199</f>
        <v>0</v>
      </c>
    </row>
    <row r="200" spans="2:14" s="495" customFormat="1" ht="14.25" customHeight="1" x14ac:dyDescent="0.25">
      <c r="B200" s="489">
        <f t="shared" si="90"/>
        <v>200</v>
      </c>
      <c r="C200" s="496">
        <v>-1</v>
      </c>
      <c r="D200" s="489"/>
      <c r="E200" s="489"/>
      <c r="F200" s="540" t="str">
        <f>VLOOKUP("T.06.168",Translation,LanguageNo+1,FALSE)</f>
        <v>Best Estimate der Versicherungsverpflichtungen Kollektivtaggeld (ADISD02500): Brutto</v>
      </c>
      <c r="G200" s="516"/>
      <c r="H200" s="516"/>
      <c r="I200" s="516"/>
      <c r="J200" s="514" cm="1">
        <f t="array" ref="J200">IF(ISBLANK(B200),"",G200+SUMPRODUCT(--($H$6:$H$265=B200),$I$6:$I$265,$C$6:$C$265)*C200-I200)</f>
        <v>0</v>
      </c>
      <c r="K200" s="515"/>
      <c r="L200" s="514">
        <f t="shared" si="92"/>
        <v>0</v>
      </c>
      <c r="M200" s="514">
        <f t="shared" si="91"/>
        <v>0</v>
      </c>
      <c r="N200" s="514">
        <f>'SST Balance Sheet BVG'!F200</f>
        <v>0</v>
      </c>
    </row>
    <row r="201" spans="2:14" s="495" customFormat="1" ht="14.25" customHeight="1" x14ac:dyDescent="0.25">
      <c r="B201" s="489">
        <f t="shared" ref="B201" si="93">ROW(B201)</f>
        <v>201</v>
      </c>
      <c r="C201" s="496">
        <v>-1</v>
      </c>
      <c r="D201" s="489"/>
      <c r="E201" s="491"/>
      <c r="F201" s="528" t="str">
        <f>VLOOKUP("T.06.169",Translation,LanguageNo+1,FALSE)</f>
        <v>Best Estimate der Langzeitverpflichtungen (Kranken) (ADISD02100 - ADISD02400): Brutto</v>
      </c>
      <c r="G201" s="505"/>
      <c r="H201" s="506"/>
      <c r="I201" s="507"/>
      <c r="J201" s="494" cm="1">
        <f t="array" ref="J201">IF(ISBLANK(B201),"",G201+SUMPRODUCT(--($H$6:$H$265=B201),$I$6:$I$265,$C$6:$C$265)*C201-I201)</f>
        <v>0</v>
      </c>
      <c r="K201" s="508"/>
      <c r="L201" s="494">
        <f t="shared" si="92"/>
        <v>0</v>
      </c>
      <c r="M201" s="494">
        <f t="shared" si="91"/>
        <v>0</v>
      </c>
      <c r="N201" s="494">
        <f>'SST Balance Sheet BVG'!F201</f>
        <v>0</v>
      </c>
    </row>
    <row r="202" spans="2:14" s="495" customFormat="1" ht="14.25" customHeight="1" x14ac:dyDescent="0.25">
      <c r="B202" s="489">
        <f t="shared" ref="B202:B207" si="94">ROW(B202)</f>
        <v>202</v>
      </c>
      <c r="C202" s="496">
        <v>-1</v>
      </c>
      <c r="D202" s="489"/>
      <c r="E202" s="491"/>
      <c r="F202" s="528" t="str">
        <f>VLOOKUP("T.06.170",Translation,LanguageNo+1,FALSE)</f>
        <v>Best Estimate des unverdienten Geschäfts Kollektivtaggeld (ADISD02500): Brutto</v>
      </c>
      <c r="G202" s="505"/>
      <c r="H202" s="506"/>
      <c r="I202" s="507"/>
      <c r="J202" s="494" cm="1">
        <f t="array" ref="J202">IF(ISBLANK(B202),"",G202+SUMPRODUCT(--($H$6:$H$265=B202),$I$6:$I$265,$C$6:$C$265)*C202-I202)</f>
        <v>0</v>
      </c>
      <c r="K202" s="508"/>
      <c r="L202" s="494">
        <f t="shared" si="92"/>
        <v>0</v>
      </c>
      <c r="M202" s="494">
        <f t="shared" si="91"/>
        <v>0</v>
      </c>
      <c r="N202" s="494">
        <f>'SST Balance Sheet BVG'!F202</f>
        <v>0</v>
      </c>
    </row>
    <row r="203" spans="2:14" s="495" customFormat="1" ht="14.25" customHeight="1" x14ac:dyDescent="0.25">
      <c r="B203" s="489">
        <f t="shared" si="94"/>
        <v>203</v>
      </c>
      <c r="C203" s="496">
        <v>-1</v>
      </c>
      <c r="D203" s="489">
        <v>201230200</v>
      </c>
      <c r="E203" s="504"/>
      <c r="F203" s="494" t="str">
        <f>VLOOKUP("T.06.171",Translation,LanguageNo+1,FALSE)</f>
        <v>Schwankungsrückstellungen und weitere statutarische Rückstellungen (Kranken): Brutto</v>
      </c>
      <c r="G203" s="505"/>
      <c r="H203" s="506"/>
      <c r="I203" s="507"/>
      <c r="J203" s="494" cm="1">
        <f t="array" ref="J203">IF(ISBLANK(B203),"",G203+SUMPRODUCT(--($H$6:$H$265=B203),$I$6:$I$265,$C$6:$C$265)*C203-I203)</f>
        <v>0</v>
      </c>
      <c r="K203" s="508"/>
      <c r="L203" s="494">
        <f t="shared" si="92"/>
        <v>0</v>
      </c>
      <c r="M203" s="494">
        <f t="shared" si="91"/>
        <v>0</v>
      </c>
      <c r="N203" s="529">
        <f>'SST Balance Sheet BVG'!F203</f>
        <v>0</v>
      </c>
    </row>
    <row r="204" spans="2:14" s="495" customFormat="1" ht="14.25" customHeight="1" x14ac:dyDescent="0.25">
      <c r="B204" s="489">
        <f t="shared" si="94"/>
        <v>204</v>
      </c>
      <c r="C204" s="496">
        <v>-1</v>
      </c>
      <c r="D204" s="489"/>
      <c r="E204" s="489"/>
      <c r="F204" s="539" t="str">
        <f>VLOOKUP("T.06.172",Translation,LanguageNo+1,FALSE)</f>
        <v>Best Estimate der sonstigen Versicherungsverpflichtungen (Kranken): Brutto</v>
      </c>
      <c r="G204" s="505"/>
      <c r="H204" s="506"/>
      <c r="I204" s="507"/>
      <c r="J204" s="494" cm="1">
        <f t="array" ref="J204">IF(ISBLANK(B204),"",G204+SUMPRODUCT(--($H$6:$H$265=B204),$I$6:$I$265,$C$6:$C$265)*C204-I204)</f>
        <v>0</v>
      </c>
      <c r="K204" s="508"/>
      <c r="L204" s="494">
        <f t="shared" si="92"/>
        <v>0</v>
      </c>
      <c r="M204" s="494">
        <f t="shared" si="91"/>
        <v>0</v>
      </c>
      <c r="N204" s="494">
        <f>'SST Balance Sheet BVG'!F204</f>
        <v>0</v>
      </c>
    </row>
    <row r="205" spans="2:14" s="495" customFormat="1" ht="14.25" customHeight="1" x14ac:dyDescent="0.25">
      <c r="B205" s="489">
        <f t="shared" si="94"/>
        <v>205</v>
      </c>
      <c r="C205" s="496">
        <v>-1</v>
      </c>
      <c r="D205" s="489"/>
      <c r="E205" s="489"/>
      <c r="F205" s="489" t="str">
        <f>VLOOKUP("T.06.173",Translation,LanguageNo+1,FALSE)</f>
        <v>Rückstellungen für vertragliche Überschussbeteiligungen (Kranken): Brutto</v>
      </c>
      <c r="G205" s="520"/>
      <c r="H205" s="533"/>
      <c r="I205" s="531"/>
      <c r="J205" s="494" cm="1">
        <f t="array" ref="J205">IF(ISBLANK(B205),"",G205+SUMPRODUCT(--($H$6:$H$265=B205),$I$6:$I$265,$C$6:$C$265)*C205-I205)</f>
        <v>0</v>
      </c>
      <c r="K205" s="532"/>
      <c r="L205" s="494">
        <f t="shared" si="92"/>
        <v>0</v>
      </c>
      <c r="M205" s="494">
        <f t="shared" si="91"/>
        <v>0</v>
      </c>
      <c r="N205" s="494">
        <f>'SST Balance Sheet BVG'!F205</f>
        <v>0</v>
      </c>
    </row>
    <row r="206" spans="2:14" s="495" customFormat="1" ht="14.25" customHeight="1" x14ac:dyDescent="0.25">
      <c r="B206" s="489">
        <f t="shared" si="94"/>
        <v>206</v>
      </c>
      <c r="C206" s="496">
        <v>-1</v>
      </c>
      <c r="D206" s="489"/>
      <c r="E206" s="489"/>
      <c r="F206" s="494" t="str">
        <f>VLOOKUP("T.06.174",Translation,LanguageNo+1,FALSE)</f>
        <v>Rückstellungen für Überschussfonds (Kranken): Brutto</v>
      </c>
      <c r="G206" s="520"/>
      <c r="H206" s="533"/>
      <c r="I206" s="531"/>
      <c r="J206" s="494" cm="1">
        <f t="array" ref="J206">IF(ISBLANK(B206),"",G206+SUMPRODUCT(--($H$6:$H$265=B206),$I$6:$I$265,$C$6:$C$265)*C206-I206)</f>
        <v>0</v>
      </c>
      <c r="K206" s="532"/>
      <c r="L206" s="494">
        <f t="shared" ref="L206:L207" si="95">$J206+$K206</f>
        <v>0</v>
      </c>
      <c r="M206" s="494">
        <f t="shared" ref="M206:M217" si="96">$N206-$L206</f>
        <v>0</v>
      </c>
      <c r="N206" s="494">
        <f>'SST Balance Sheet BVG'!F206</f>
        <v>0</v>
      </c>
    </row>
    <row r="207" spans="2:14" s="495" customFormat="1" ht="14.25" customHeight="1" x14ac:dyDescent="0.25">
      <c r="B207" s="489">
        <f t="shared" si="94"/>
        <v>207</v>
      </c>
      <c r="C207" s="496">
        <v>-1</v>
      </c>
      <c r="D207" s="489">
        <v>201204000</v>
      </c>
      <c r="E207" s="491" t="s">
        <v>987</v>
      </c>
      <c r="F207" s="492" t="str">
        <f>VLOOKUP("T.06.175",Translation,LanguageNo+1,FALSE)</f>
        <v>Aktive Rückversicherung: Krankenversicherungsgeschäft</v>
      </c>
      <c r="G207" s="500"/>
      <c r="H207" s="500"/>
      <c r="I207" s="500"/>
      <c r="J207" s="494" cm="1">
        <f t="array" ref="J207">IF(ISBLANK(B207),"",G207+SUMPRODUCT(--($H$6:$H$265=B207),$I$6:$I$265,$C$6:$C$265)*C207-I207)</f>
        <v>0</v>
      </c>
      <c r="K207" s="500"/>
      <c r="L207" s="494">
        <f t="shared" si="95"/>
        <v>0</v>
      </c>
      <c r="M207" s="494">
        <f t="shared" si="96"/>
        <v>0</v>
      </c>
      <c r="N207" s="494">
        <f>'SST Balance Sheet BVG'!F207</f>
        <v>0</v>
      </c>
    </row>
    <row r="208" spans="2:14" s="495" customFormat="1" ht="14.25" customHeight="1" x14ac:dyDescent="0.25">
      <c r="B208" s="490"/>
      <c r="C208" s="489"/>
      <c r="D208" s="494"/>
      <c r="E208" s="539"/>
      <c r="F208" s="502"/>
      <c r="G208" s="502"/>
      <c r="H208" s="502"/>
      <c r="I208" s="494"/>
      <c r="J208" s="502"/>
      <c r="K208" s="494"/>
      <c r="L208" s="494"/>
      <c r="M208" s="494"/>
      <c r="N208" s="494"/>
    </row>
    <row r="209" spans="2:14" s="495" customFormat="1" ht="14.25" customHeight="1" x14ac:dyDescent="0.25">
      <c r="B209" s="489">
        <f t="shared" ref="B209:B212" si="97">ROW(B209)</f>
        <v>209</v>
      </c>
      <c r="C209" s="490"/>
      <c r="D209" s="489">
        <v>202000000</v>
      </c>
      <c r="E209" s="504"/>
      <c r="F209" s="541" t="str">
        <f>VLOOKUP("T.06.176",Translation,LanguageNo+1,FALSE)</f>
        <v>2.2 Bestmöglicher Schätzwert der Versicherungsverpflichtungen für anteilgebundene Lebensversicherung</v>
      </c>
      <c r="G209" s="493">
        <f>G210+G212+G214+G215</f>
        <v>0</v>
      </c>
      <c r="H209" s="493"/>
      <c r="I209" s="493"/>
      <c r="J209" s="502">
        <f>J210+J212+J214+J215</f>
        <v>0</v>
      </c>
      <c r="K209" s="493">
        <f>K210+K212+K214+K215</f>
        <v>0</v>
      </c>
      <c r="L209" s="502">
        <f>L210+L212+L214+L215</f>
        <v>0</v>
      </c>
      <c r="M209" s="494">
        <f t="shared" ref="M209:M214" si="98">$N209-$L209</f>
        <v>0</v>
      </c>
      <c r="N209" s="494">
        <f>'SST Balance Sheet BVG'!F209</f>
        <v>0</v>
      </c>
    </row>
    <row r="210" spans="2:14" s="495" customFormat="1" ht="14.25" customHeight="1" x14ac:dyDescent="0.25">
      <c r="B210" s="489">
        <f t="shared" si="97"/>
        <v>210</v>
      </c>
      <c r="C210" s="496">
        <v>-1</v>
      </c>
      <c r="D210" s="489"/>
      <c r="E210" s="489"/>
      <c r="F210" s="489" t="str">
        <f>VLOOKUP("T.06.177",Translation,LanguageNo+1,FALSE)</f>
        <v>Fondsanteilgebundene Lebensversicherung (A 2.1 - A 2.3 &amp; A 6.1)</v>
      </c>
      <c r="G210" s="520"/>
      <c r="H210" s="506"/>
      <c r="I210" s="507"/>
      <c r="J210" s="494" cm="1">
        <f t="array" ref="J210">IF(ISBLANK(B210),"",G210+SUMPRODUCT(--($H$6:$H$265=B210),$I$6:$I$265,$C$6:$C$265)*C210-I210)</f>
        <v>0</v>
      </c>
      <c r="K210" s="508"/>
      <c r="L210" s="494">
        <f t="shared" ref="L210" si="99">$J210+$K210</f>
        <v>0</v>
      </c>
      <c r="M210" s="494">
        <f t="shared" si="98"/>
        <v>0</v>
      </c>
      <c r="N210" s="494">
        <f>'SST Balance Sheet BVG'!F210</f>
        <v>0</v>
      </c>
    </row>
    <row r="211" spans="2:14" s="495" customFormat="1" ht="14.25" customHeight="1" x14ac:dyDescent="0.25">
      <c r="B211" s="489">
        <f t="shared" si="97"/>
        <v>211</v>
      </c>
      <c r="C211" s="490"/>
      <c r="D211" s="489"/>
      <c r="E211" s="489"/>
      <c r="F211" s="501" t="str">
        <f>VLOOKUP("T.06.178",Translation,LanguageNo+1,FALSE)</f>
        <v>davon Optionen und Garantien</v>
      </c>
      <c r="G211" s="516"/>
      <c r="H211" s="521"/>
      <c r="I211" s="521"/>
      <c r="J211" s="494"/>
      <c r="K211" s="521"/>
      <c r="L211" s="494"/>
      <c r="M211" s="494"/>
      <c r="N211" s="514">
        <f>'SST Balance Sheet BVG'!F211</f>
        <v>0</v>
      </c>
    </row>
    <row r="212" spans="2:14" s="495" customFormat="1" ht="14.25" customHeight="1" x14ac:dyDescent="0.25">
      <c r="B212" s="489">
        <f t="shared" si="97"/>
        <v>212</v>
      </c>
      <c r="C212" s="496">
        <v>-1</v>
      </c>
      <c r="D212" s="489"/>
      <c r="E212" s="489"/>
      <c r="F212" s="489" t="str">
        <f>VLOOKUP("T.06.179",Translation,LanguageNo+1,FALSE)</f>
        <v>An interne Anlagebestände oder andere Bezugswerte gebundene Lebensversicherung: Brutto (A 2.4 - A 2.6 &amp; A 6.2)</v>
      </c>
      <c r="G212" s="508"/>
      <c r="H212" s="505"/>
      <c r="I212" s="507"/>
      <c r="J212" s="494" cm="1">
        <f t="array" ref="J212">IF(ISBLANK(B212),"",G212+SUMPRODUCT(--($H$6:$H$265=B212),$I$6:$I$265,$C$6:$C$265)*C212-I212)</f>
        <v>0</v>
      </c>
      <c r="K212" s="508"/>
      <c r="L212" s="494">
        <f t="shared" ref="L212" si="100">$J212+$K212</f>
        <v>0</v>
      </c>
      <c r="M212" s="494">
        <f t="shared" si="98"/>
        <v>0</v>
      </c>
      <c r="N212" s="494">
        <f>'SST Balance Sheet BVG'!F212</f>
        <v>0</v>
      </c>
    </row>
    <row r="213" spans="2:14" s="495" customFormat="1" ht="14.25" customHeight="1" x14ac:dyDescent="0.25">
      <c r="B213" s="489">
        <f t="shared" ref="B213:B219" si="101">ROW(B213)</f>
        <v>213</v>
      </c>
      <c r="C213" s="490"/>
      <c r="D213" s="509"/>
      <c r="E213" s="489"/>
      <c r="F213" s="501" t="str">
        <f>VLOOKUP("T.06.180",Translation,LanguageNo+1,FALSE)</f>
        <v>davon Optionen und Garantien</v>
      </c>
      <c r="G213" s="516"/>
      <c r="H213" s="521"/>
      <c r="I213" s="521"/>
      <c r="J213" s="494"/>
      <c r="K213" s="521"/>
      <c r="L213" s="494"/>
      <c r="M213" s="494"/>
      <c r="N213" s="514">
        <f>'SST Balance Sheet BVG'!F213</f>
        <v>0</v>
      </c>
    </row>
    <row r="214" spans="2:14" s="495" customFormat="1" ht="14.25" customHeight="1" x14ac:dyDescent="0.25">
      <c r="B214" s="489">
        <f t="shared" si="101"/>
        <v>214</v>
      </c>
      <c r="C214" s="496">
        <v>-1</v>
      </c>
      <c r="D214" s="509">
        <v>202400100</v>
      </c>
      <c r="E214" s="504"/>
      <c r="F214" s="489" t="str">
        <f>VLOOKUP("T.06.181",Translation,LanguageNo+1,FALSE)</f>
        <v>Schwankungsrückstellungen für anteilgebundene Lebensversicherungen direktes Geschäft: Brutto</v>
      </c>
      <c r="G214" s="542"/>
      <c r="H214" s="520"/>
      <c r="I214" s="531"/>
      <c r="J214" s="494" cm="1">
        <f t="array" ref="J214">IF(ISBLANK(B214),"",G214+SUMPRODUCT(--($H$6:$H$265=B214),$I$6:$I$265,$C$6:$C$265)*C214-I214)</f>
        <v>0</v>
      </c>
      <c r="K214" s="532"/>
      <c r="L214" s="494">
        <f t="shared" ref="L214" si="102">$J214+$K214</f>
        <v>0</v>
      </c>
      <c r="M214" s="494">
        <f t="shared" si="98"/>
        <v>0</v>
      </c>
      <c r="N214" s="529">
        <f>'SST Balance Sheet BVG'!F214</f>
        <v>0</v>
      </c>
    </row>
    <row r="215" spans="2:14" s="495" customFormat="1" ht="14.25" customHeight="1" x14ac:dyDescent="0.25">
      <c r="B215" s="489">
        <f t="shared" si="101"/>
        <v>215</v>
      </c>
      <c r="C215" s="496">
        <v>-1</v>
      </c>
      <c r="D215" s="489">
        <v>202020000</v>
      </c>
      <c r="E215" s="491" t="s">
        <v>986</v>
      </c>
      <c r="F215" s="489" t="str">
        <f>VLOOKUP("T.06.182",Translation,LanguageNo+1,FALSE)</f>
        <v>Aktive Rückversicherung: Anteilgebundenes Lebensversicherungsgeschäft</v>
      </c>
      <c r="G215" s="543"/>
      <c r="H215" s="498"/>
      <c r="I215" s="499"/>
      <c r="J215" s="494" cm="1">
        <f t="array" ref="J215">IF(ISBLANK(B215),"",G215+SUMPRODUCT(--($H$6:$H$265=B215),$I$6:$I$265,$C$6:$C$265)*C215-I215)</f>
        <v>0</v>
      </c>
      <c r="K215" s="500"/>
      <c r="L215" s="494">
        <f t="shared" ref="L215:L217" si="103">$J215+$K215</f>
        <v>0</v>
      </c>
      <c r="M215" s="494">
        <f t="shared" si="96"/>
        <v>0</v>
      </c>
      <c r="N215" s="494">
        <f>'SST Balance Sheet BVG'!F215</f>
        <v>0</v>
      </c>
    </row>
    <row r="216" spans="2:14" s="63" customFormat="1" ht="14.25" customHeight="1" x14ac:dyDescent="0.25">
      <c r="B216" s="183"/>
      <c r="C216" s="70"/>
      <c r="D216" s="184"/>
      <c r="E216" s="122"/>
      <c r="F216" s="72"/>
      <c r="G216" s="72"/>
      <c r="H216" s="72"/>
      <c r="I216" s="184"/>
      <c r="J216" s="72"/>
      <c r="K216" s="184"/>
      <c r="L216" s="184"/>
      <c r="M216" s="184"/>
      <c r="N216" s="184"/>
    </row>
    <row r="217" spans="2:14" s="63" customFormat="1" ht="14.25" customHeight="1" x14ac:dyDescent="0.25">
      <c r="B217" s="38">
        <f t="shared" si="101"/>
        <v>217</v>
      </c>
      <c r="C217" s="181"/>
      <c r="D217" s="200"/>
      <c r="E217" s="63" t="s">
        <v>1460</v>
      </c>
      <c r="F217" s="108" t="str">
        <f>VLOOKUP("T.06.183",Translation,LanguageNo+1,FALSE)</f>
        <v>Mindestbetrag</v>
      </c>
      <c r="G217" s="291"/>
      <c r="H217" s="188"/>
      <c r="I217" s="188"/>
      <c r="J217" s="180" cm="1">
        <f t="array" ref="J217">IF(ISBLANK(B217),"",G217+SUMPRODUCT(--($H$6:$H$265=B217),$I$6:$I$265,$C$6:$C$265)*C217-I217)</f>
        <v>0</v>
      </c>
      <c r="K217" s="188"/>
      <c r="L217" s="180">
        <f t="shared" si="103"/>
        <v>0</v>
      </c>
      <c r="M217" s="180">
        <f t="shared" si="96"/>
        <v>0</v>
      </c>
      <c r="N217" s="180">
        <f>'SST Balance Sheet BVG'!F217</f>
        <v>0</v>
      </c>
    </row>
    <row r="218" spans="2:14" s="63" customFormat="1" ht="14.25" customHeight="1" x14ac:dyDescent="0.25">
      <c r="B218" s="70"/>
      <c r="C218" s="183"/>
      <c r="D218" s="70"/>
      <c r="E218" s="70"/>
      <c r="F218" s="70"/>
      <c r="G218" s="72"/>
      <c r="H218" s="72"/>
      <c r="I218" s="72"/>
      <c r="J218" s="184"/>
      <c r="K218" s="72"/>
      <c r="L218" s="184"/>
      <c r="M218" s="184"/>
      <c r="N218" s="184"/>
    </row>
    <row r="219" spans="2:14" ht="14.25" customHeight="1" x14ac:dyDescent="0.25">
      <c r="B219" s="38">
        <f t="shared" si="101"/>
        <v>219</v>
      </c>
      <c r="D219" s="381">
        <v>203000000</v>
      </c>
      <c r="E219" s="389" t="s">
        <v>988</v>
      </c>
      <c r="F219" s="108" t="str">
        <f>VLOOKUP("T.06.184",Translation,LanguageNo+1,FALSE)</f>
        <v>2.3 Nichtversicherungstechnische Rückstellungen</v>
      </c>
      <c r="G219" s="74">
        <f>SUM(G220:G222)</f>
        <v>0</v>
      </c>
      <c r="H219" s="74"/>
      <c r="I219" s="74"/>
      <c r="J219" s="75">
        <f>SUM(J220:J222)</f>
        <v>0</v>
      </c>
      <c r="K219" s="74">
        <f>SUM(K220:K222)</f>
        <v>0</v>
      </c>
      <c r="L219" s="75">
        <f>SUM(L220:L222)</f>
        <v>0</v>
      </c>
      <c r="M219" s="180">
        <f t="shared" ref="M219:M222" si="104">$N219-$L219</f>
        <v>0</v>
      </c>
      <c r="N219" s="180">
        <f>'SST Balance Sheet BVG'!F219</f>
        <v>0</v>
      </c>
    </row>
    <row r="220" spans="2:14" ht="14.25" customHeight="1" x14ac:dyDescent="0.25">
      <c r="B220" s="38">
        <f t="shared" ref="B220" si="105">ROW(B220)</f>
        <v>220</v>
      </c>
      <c r="C220" s="181">
        <v>-1</v>
      </c>
      <c r="D220" s="381">
        <v>203000200</v>
      </c>
      <c r="E220" s="408"/>
      <c r="F220" s="38" t="str">
        <f>VLOOKUP("T.06.185",Translation,LanguageNo+1,FALSE)</f>
        <v>Rückstellungen für Personalvorsorge</v>
      </c>
      <c r="G220" s="64"/>
      <c r="H220" s="36"/>
      <c r="I220" s="79"/>
      <c r="J220" s="180" cm="1">
        <f t="array" ref="J220">IF(ISBLANK(B220),"",G220+SUMPRODUCT(--($H$6:$H$265=B220),$I$6:$I$265,$C$6:$C$265)*C220-I220)</f>
        <v>0</v>
      </c>
      <c r="K220" s="65"/>
      <c r="L220" s="180">
        <f t="shared" ref="L220:L222" si="106">$J220+$K220</f>
        <v>0</v>
      </c>
      <c r="M220" s="180">
        <f t="shared" si="104"/>
        <v>0</v>
      </c>
      <c r="N220" s="180">
        <f>'SST Balance Sheet BVG'!F220</f>
        <v>0</v>
      </c>
    </row>
    <row r="221" spans="2:14" ht="14.25" customHeight="1" x14ac:dyDescent="0.25">
      <c r="B221" s="38">
        <f t="shared" ref="B221:B229" si="107">ROW(B221)</f>
        <v>221</v>
      </c>
      <c r="C221" s="181">
        <v>-1</v>
      </c>
      <c r="D221" s="381">
        <v>203100000</v>
      </c>
      <c r="E221" s="408"/>
      <c r="F221" s="38" t="str">
        <f>VLOOKUP("T.06.186",Translation,LanguageNo+1,FALSE)</f>
        <v xml:space="preserve">Finanzielle Rückstellungen </v>
      </c>
      <c r="G221" s="64"/>
      <c r="H221" s="36"/>
      <c r="I221" s="79"/>
      <c r="J221" s="180" cm="1">
        <f t="array" ref="J221">IF(ISBLANK(B221),"",G221+SUMPRODUCT(--($H$6:$H$265=B221),$I$6:$I$265,$C$6:$C$265)*C221-I221)</f>
        <v>0</v>
      </c>
      <c r="K221" s="65"/>
      <c r="L221" s="180">
        <f t="shared" si="106"/>
        <v>0</v>
      </c>
      <c r="M221" s="180">
        <f t="shared" si="104"/>
        <v>0</v>
      </c>
      <c r="N221" s="292">
        <f>'SST Balance Sheet BVG'!F221</f>
        <v>0</v>
      </c>
    </row>
    <row r="222" spans="2:14" ht="14.25" customHeight="1" x14ac:dyDescent="0.25">
      <c r="B222" s="38">
        <f t="shared" si="107"/>
        <v>222</v>
      </c>
      <c r="C222" s="181">
        <v>-1</v>
      </c>
      <c r="D222" s="381" t="s">
        <v>1442</v>
      </c>
      <c r="E222" s="408"/>
      <c r="F222" s="38" t="str">
        <f>VLOOKUP("T.06.187",Translation,LanguageNo+1,FALSE)</f>
        <v xml:space="preserve">Sonstige Rückstellungen </v>
      </c>
      <c r="G222" s="68"/>
      <c r="H222" s="111"/>
      <c r="I222" s="94"/>
      <c r="J222" s="180" cm="1">
        <f t="array" ref="J222">IF(ISBLANK(B222),"",G222+SUMPRODUCT(--($H$6:$H$265=B222),$I$6:$I$265,$C$6:$C$265)*C222-I222)</f>
        <v>0</v>
      </c>
      <c r="K222" s="182"/>
      <c r="L222" s="180">
        <f t="shared" si="106"/>
        <v>0</v>
      </c>
      <c r="M222" s="180">
        <f t="shared" si="104"/>
        <v>0</v>
      </c>
      <c r="N222" s="180">
        <f>'SST Balance Sheet BVG'!F222</f>
        <v>0</v>
      </c>
    </row>
    <row r="223" spans="2:14" s="63" customFormat="1" ht="14.25" customHeight="1" x14ac:dyDescent="0.25">
      <c r="B223" s="70"/>
      <c r="C223" s="183"/>
      <c r="D223" s="70"/>
      <c r="E223" s="70"/>
      <c r="F223" s="70"/>
      <c r="G223" s="72"/>
      <c r="H223" s="72"/>
      <c r="I223" s="72"/>
      <c r="J223" s="184"/>
      <c r="K223" s="72"/>
      <c r="L223" s="184"/>
      <c r="M223" s="184"/>
      <c r="N223" s="184"/>
    </row>
    <row r="224" spans="2:14" ht="14.25" customHeight="1" x14ac:dyDescent="0.25">
      <c r="B224" s="38">
        <f t="shared" si="107"/>
        <v>224</v>
      </c>
      <c r="C224" s="181">
        <v>-1</v>
      </c>
      <c r="D224" s="381">
        <v>204000000</v>
      </c>
      <c r="E224" s="389" t="s">
        <v>989</v>
      </c>
      <c r="F224" s="73" t="str">
        <f>VLOOKUP("T.06.188",Translation,LanguageNo+1,FALSE)</f>
        <v>2.4 Verzinsliche Verbindlichkeiten</v>
      </c>
      <c r="G224" s="64"/>
      <c r="H224" s="36"/>
      <c r="I224" s="79"/>
      <c r="J224" s="180" cm="1">
        <f t="array" ref="J224">IF(ISBLANK(B224),"",G224+SUMPRODUCT(--($H$6:$H$265=B224),$I$6:$I$265,$C$6:$C$265)*C224-I224)</f>
        <v>0</v>
      </c>
      <c r="K224" s="65"/>
      <c r="L224" s="180">
        <f t="shared" ref="L224" si="108">$J224+$K224</f>
        <v>0</v>
      </c>
      <c r="M224" s="180">
        <f t="shared" ref="M224" si="109">$N224-$L224</f>
        <v>0</v>
      </c>
      <c r="N224" s="180">
        <f>'SST Balance Sheet BVG'!F224</f>
        <v>0</v>
      </c>
    </row>
    <row r="225" spans="2:14" s="63" customFormat="1" ht="14.25" customHeight="1" x14ac:dyDescent="0.25">
      <c r="B225" s="70"/>
      <c r="C225" s="183"/>
      <c r="D225" s="70"/>
      <c r="E225" s="70"/>
      <c r="F225" s="70"/>
      <c r="G225" s="72"/>
      <c r="H225" s="72"/>
      <c r="I225" s="72"/>
      <c r="J225" s="184"/>
      <c r="K225" s="72"/>
      <c r="L225" s="184"/>
      <c r="M225" s="184"/>
      <c r="N225" s="184"/>
    </row>
    <row r="226" spans="2:14" ht="14.25" customHeight="1" x14ac:dyDescent="0.25">
      <c r="B226" s="38">
        <f t="shared" si="107"/>
        <v>226</v>
      </c>
      <c r="D226" s="381">
        <v>205000000</v>
      </c>
      <c r="E226" s="389" t="s">
        <v>990</v>
      </c>
      <c r="F226" s="73" t="str">
        <f>VLOOKUP("T.06.189",Translation,LanguageNo+1,FALSE)</f>
        <v>2.5. Verbindlichkeiten aus derivativen Finanzinstrumenten</v>
      </c>
      <c r="G226" s="74">
        <f>SUM(G227:G232)</f>
        <v>0</v>
      </c>
      <c r="H226" s="74"/>
      <c r="I226" s="74"/>
      <c r="J226" s="75">
        <f>SUM(J227:J232)</f>
        <v>0</v>
      </c>
      <c r="K226" s="74">
        <f>SUM(K227:K232)</f>
        <v>0</v>
      </c>
      <c r="L226" s="75">
        <f>SUM(L227:L232)</f>
        <v>0</v>
      </c>
      <c r="M226" s="180">
        <f t="shared" ref="M226:M232" si="110">$N226-$L226</f>
        <v>0</v>
      </c>
      <c r="N226" s="180">
        <f>'SST Balance Sheet BVG'!F226</f>
        <v>0</v>
      </c>
    </row>
    <row r="227" spans="2:14" ht="14.25" customHeight="1" x14ac:dyDescent="0.25">
      <c r="B227" s="38">
        <f t="shared" si="107"/>
        <v>227</v>
      </c>
      <c r="C227" s="181">
        <v>-1</v>
      </c>
      <c r="D227" s="381">
        <v>205000100</v>
      </c>
      <c r="E227" s="389" t="s">
        <v>991</v>
      </c>
      <c r="F227" s="38" t="str">
        <f>VLOOKUP("T.06.190",Translation,LanguageNo+1,FALSE)</f>
        <v>Zinsrisikobezogene Instrumente</v>
      </c>
      <c r="G227" s="64"/>
      <c r="H227" s="36"/>
      <c r="I227" s="79"/>
      <c r="J227" s="180" cm="1">
        <f t="array" ref="J227">IF(ISBLANK(B227),"",G227+SUMPRODUCT(--($H$6:$H$265=B227),$I$6:$I$265,$C$6:$C$265)*C227-I227)</f>
        <v>0</v>
      </c>
      <c r="K227" s="65"/>
      <c r="L227" s="180">
        <f t="shared" ref="L227:L232" si="111">$J227+$K227</f>
        <v>0</v>
      </c>
      <c r="M227" s="180">
        <f t="shared" si="110"/>
        <v>0</v>
      </c>
      <c r="N227" s="180">
        <f>'SST Balance Sheet BVG'!F227</f>
        <v>0</v>
      </c>
    </row>
    <row r="228" spans="2:14" ht="14.25" customHeight="1" x14ac:dyDescent="0.25">
      <c r="B228" s="38">
        <f t="shared" si="107"/>
        <v>228</v>
      </c>
      <c r="C228" s="181">
        <v>-1</v>
      </c>
      <c r="D228" s="381">
        <v>205000200</v>
      </c>
      <c r="E228" s="389" t="s">
        <v>992</v>
      </c>
      <c r="F228" s="38" t="str">
        <f>VLOOKUP("T.06.191",Translation,LanguageNo+1,FALSE)</f>
        <v>Währungsrisikobezogene Instrumente</v>
      </c>
      <c r="G228" s="64"/>
      <c r="H228" s="36"/>
      <c r="I228" s="79"/>
      <c r="J228" s="180" cm="1">
        <f t="array" ref="J228">IF(ISBLANK(B228),"",G228+SUMPRODUCT(--($H$6:$H$265=B228),$I$6:$I$265,$C$6:$C$265)*C228-I228)</f>
        <v>0</v>
      </c>
      <c r="K228" s="65"/>
      <c r="L228" s="180">
        <f t="shared" si="111"/>
        <v>0</v>
      </c>
      <c r="M228" s="180">
        <f t="shared" si="110"/>
        <v>0</v>
      </c>
      <c r="N228" s="180">
        <f>'SST Balance Sheet BVG'!F228</f>
        <v>0</v>
      </c>
    </row>
    <row r="229" spans="2:14" ht="14.25" customHeight="1" x14ac:dyDescent="0.25">
      <c r="B229" s="38">
        <f t="shared" si="107"/>
        <v>229</v>
      </c>
      <c r="C229" s="181">
        <v>-1</v>
      </c>
      <c r="D229" s="381">
        <v>205000300</v>
      </c>
      <c r="E229" s="389" t="s">
        <v>993</v>
      </c>
      <c r="F229" s="38" t="str">
        <f>VLOOKUP("T.06.192",Translation,LanguageNo+1,FALSE)</f>
        <v>(Aktien-)Marktrisikobezogene Instrumente</v>
      </c>
      <c r="G229" s="64"/>
      <c r="H229" s="36"/>
      <c r="I229" s="79"/>
      <c r="J229" s="180" cm="1">
        <f t="array" ref="J229">IF(ISBLANK(B229),"",G229+SUMPRODUCT(--($H$6:$H$265=B229),$I$6:$I$265,$C$6:$C$265)*C229-I229)</f>
        <v>0</v>
      </c>
      <c r="K229" s="65"/>
      <c r="L229" s="180">
        <f t="shared" si="111"/>
        <v>0</v>
      </c>
      <c r="M229" s="180">
        <f t="shared" si="110"/>
        <v>0</v>
      </c>
      <c r="N229" s="180">
        <f>'SST Balance Sheet BVG'!F229</f>
        <v>0</v>
      </c>
    </row>
    <row r="230" spans="2:14" ht="14.25" customHeight="1" x14ac:dyDescent="0.25">
      <c r="B230" s="38">
        <f t="shared" ref="B230" si="112">ROW(B230)</f>
        <v>230</v>
      </c>
      <c r="C230" s="181">
        <v>-1</v>
      </c>
      <c r="D230" s="381">
        <v>205000400</v>
      </c>
      <c r="E230" s="389" t="s">
        <v>994</v>
      </c>
      <c r="F230" s="38" t="str">
        <f>VLOOKUP("T.06.193",Translation,LanguageNo+1,FALSE)</f>
        <v>Kreditrisikobezogene Instrumente</v>
      </c>
      <c r="G230" s="64"/>
      <c r="H230" s="36"/>
      <c r="I230" s="79"/>
      <c r="J230" s="180" cm="1">
        <f t="array" ref="J230">IF(ISBLANK(B230),"",G230+SUMPRODUCT(--($H$6:$H$265=B230),$I$6:$I$265,$C$6:$C$265)*C230-I230)</f>
        <v>0</v>
      </c>
      <c r="K230" s="65"/>
      <c r="L230" s="180">
        <f t="shared" si="111"/>
        <v>0</v>
      </c>
      <c r="M230" s="180">
        <f t="shared" si="110"/>
        <v>0</v>
      </c>
      <c r="N230" s="180">
        <f>'SST Balance Sheet BVG'!F230</f>
        <v>0</v>
      </c>
    </row>
    <row r="231" spans="2:14" ht="14.25" customHeight="1" x14ac:dyDescent="0.25">
      <c r="B231" s="38">
        <f t="shared" ref="B231:B236" si="113">ROW(B231)</f>
        <v>231</v>
      </c>
      <c r="C231" s="181">
        <v>-1</v>
      </c>
      <c r="D231" s="381">
        <v>205000500</v>
      </c>
      <c r="E231" s="381" t="s">
        <v>995</v>
      </c>
      <c r="F231" s="38" t="str">
        <f>VLOOKUP("T.06.194",Translation,LanguageNo+1,FALSE)</f>
        <v>Versicherungsbezogene Instrumente (z.B. Cat Derivate)</v>
      </c>
      <c r="G231" s="64"/>
      <c r="H231" s="36"/>
      <c r="I231" s="79"/>
      <c r="J231" s="180" cm="1">
        <f t="array" ref="J231">IF(ISBLANK(B231),"",G231+SUMPRODUCT(--($H$6:$H$265=B231),$I$6:$I$265,$C$6:$C$265)*C231-I231)</f>
        <v>0</v>
      </c>
      <c r="K231" s="65"/>
      <c r="L231" s="180">
        <f t="shared" si="111"/>
        <v>0</v>
      </c>
      <c r="M231" s="180">
        <f t="shared" si="110"/>
        <v>0</v>
      </c>
      <c r="N231" s="180">
        <f>'SST Balance Sheet BVG'!F231</f>
        <v>0</v>
      </c>
    </row>
    <row r="232" spans="2:14" ht="14.25" customHeight="1" x14ac:dyDescent="0.25">
      <c r="B232" s="38">
        <f t="shared" si="113"/>
        <v>232</v>
      </c>
      <c r="C232" s="181">
        <v>-1</v>
      </c>
      <c r="D232" s="381">
        <v>205000600</v>
      </c>
      <c r="E232" s="381" t="s">
        <v>996</v>
      </c>
      <c r="F232" s="262" t="str">
        <f>VLOOKUP("T.06.195",Translation,LanguageNo+1,FALSE)</f>
        <v>Übrige derivative Instrumente</v>
      </c>
      <c r="G232" s="68"/>
      <c r="H232" s="111"/>
      <c r="I232" s="94"/>
      <c r="J232" s="180" cm="1">
        <f t="array" ref="J232">IF(ISBLANK(B232),"",G232+SUMPRODUCT(--($H$6:$H$265=B232),$I$6:$I$265,$C$6:$C$265)*C232-I232)</f>
        <v>0</v>
      </c>
      <c r="K232" s="182"/>
      <c r="L232" s="180">
        <f t="shared" si="111"/>
        <v>0</v>
      </c>
      <c r="M232" s="180">
        <f t="shared" si="110"/>
        <v>0</v>
      </c>
      <c r="N232" s="180">
        <f>'SST Balance Sheet BVG'!F232</f>
        <v>0</v>
      </c>
    </row>
    <row r="233" spans="2:14" s="63" customFormat="1" ht="14.25" customHeight="1" x14ac:dyDescent="0.25">
      <c r="B233" s="70"/>
      <c r="C233" s="183"/>
      <c r="D233" s="70"/>
      <c r="E233" s="70"/>
      <c r="F233" s="70"/>
      <c r="G233" s="72"/>
      <c r="H233" s="72"/>
      <c r="I233" s="72"/>
      <c r="J233" s="184"/>
      <c r="K233" s="72"/>
      <c r="L233" s="184"/>
      <c r="M233" s="184"/>
      <c r="N233" s="184"/>
    </row>
    <row r="234" spans="2:14" ht="14.25" customHeight="1" x14ac:dyDescent="0.25">
      <c r="B234" s="38">
        <f t="shared" si="113"/>
        <v>234</v>
      </c>
      <c r="C234" s="181">
        <v>-1</v>
      </c>
      <c r="D234" s="381">
        <v>206000000</v>
      </c>
      <c r="E234" s="389" t="s">
        <v>997</v>
      </c>
      <c r="F234" s="120" t="str">
        <f>VLOOKUP("T.06.196",Translation,LanguageNo+1,FALSE)</f>
        <v>2.6 Depotverbindlichkeiten aus abgegebener Rückversicherung</v>
      </c>
      <c r="G234" s="40"/>
      <c r="H234" s="39"/>
      <c r="I234" s="112"/>
      <c r="J234" s="180" cm="1">
        <f t="array" ref="J234">IF(ISBLANK(B234),"",G234+SUMPRODUCT(--($H$6:$H$265=B234),$I$6:$I$265,$C$6:$C$265)*C234-I234)</f>
        <v>0</v>
      </c>
      <c r="K234" s="192"/>
      <c r="L234" s="180">
        <f t="shared" ref="L234" si="114">$J234+$K234</f>
        <v>0</v>
      </c>
      <c r="M234" s="180">
        <f t="shared" ref="M234" si="115">$N234-$L234</f>
        <v>0</v>
      </c>
      <c r="N234" s="180">
        <f>'SST Balance Sheet BVG'!F234</f>
        <v>0</v>
      </c>
    </row>
    <row r="235" spans="2:14" s="63" customFormat="1" ht="14.25" customHeight="1" x14ac:dyDescent="0.25">
      <c r="B235" s="70"/>
      <c r="C235" s="183"/>
      <c r="D235" s="70"/>
      <c r="E235" s="70"/>
      <c r="F235" s="70"/>
      <c r="G235" s="72"/>
      <c r="H235" s="72"/>
      <c r="I235" s="72"/>
      <c r="J235" s="184"/>
      <c r="K235" s="72"/>
      <c r="L235" s="184"/>
      <c r="M235" s="184"/>
      <c r="N235" s="184"/>
    </row>
    <row r="236" spans="2:14" ht="14.25" customHeight="1" x14ac:dyDescent="0.25">
      <c r="B236" s="38">
        <f t="shared" si="113"/>
        <v>236</v>
      </c>
      <c r="D236" s="381">
        <v>207000000</v>
      </c>
      <c r="E236" s="389" t="s">
        <v>998</v>
      </c>
      <c r="F236" s="108" t="str">
        <f>VLOOKUP("T.06.197",Translation,LanguageNo+1,FALSE)</f>
        <v>2.7 Verbindlichkeiten aus dem Versicherungsgeschäft</v>
      </c>
      <c r="G236" s="103">
        <f>SUM(G237:G238)</f>
        <v>0</v>
      </c>
      <c r="H236" s="103"/>
      <c r="I236" s="103"/>
      <c r="J236" s="190">
        <f>SUM(J237:J238)</f>
        <v>0</v>
      </c>
      <c r="K236" s="103">
        <f>SUM(K237:K238)</f>
        <v>0</v>
      </c>
      <c r="L236" s="190">
        <f>SUM(L237:L238)</f>
        <v>0</v>
      </c>
      <c r="M236" s="180">
        <f t="shared" ref="M236:M238" si="116">$N236-$L236</f>
        <v>0</v>
      </c>
      <c r="N236" s="180">
        <f>'SST Balance Sheet BVG'!F236</f>
        <v>0</v>
      </c>
    </row>
    <row r="237" spans="2:14" ht="14.25" customHeight="1" x14ac:dyDescent="0.25">
      <c r="B237" s="38">
        <f t="shared" ref="B237:B238" si="117">ROW(B237)</f>
        <v>237</v>
      </c>
      <c r="C237" s="181">
        <v>-1</v>
      </c>
      <c r="D237" s="381">
        <v>207300200</v>
      </c>
      <c r="E237" s="389" t="s">
        <v>1012</v>
      </c>
      <c r="F237" s="180" t="str">
        <f>VLOOKUP("T.06.198",Translation,LanguageNo+1,FALSE)</f>
        <v>Sonstige Depotverbindlichkeiten</v>
      </c>
      <c r="G237" s="64"/>
      <c r="H237" s="36"/>
      <c r="I237" s="79"/>
      <c r="J237" s="180" cm="1">
        <f t="array" ref="J237">IF(ISBLANK(B237),"",G237+SUMPRODUCT(--($H$6:$H$265=B237),$I$6:$I$265,$C$6:$C$265)*C237-I237)</f>
        <v>0</v>
      </c>
      <c r="K237" s="65"/>
      <c r="L237" s="180">
        <f t="shared" ref="L237:L238" si="118">$J237+$K237</f>
        <v>0</v>
      </c>
      <c r="M237" s="180">
        <f t="shared" si="116"/>
        <v>0</v>
      </c>
      <c r="N237" s="180">
        <f>'SST Balance Sheet BVG'!F237</f>
        <v>0</v>
      </c>
    </row>
    <row r="238" spans="2:14" ht="14.25" customHeight="1" x14ac:dyDescent="0.25">
      <c r="B238" s="38">
        <f t="shared" si="117"/>
        <v>238</v>
      </c>
      <c r="C238" s="181">
        <v>-1</v>
      </c>
      <c r="D238" s="381" t="s">
        <v>1443</v>
      </c>
      <c r="E238" s="408"/>
      <c r="F238" s="180" t="str">
        <f>VLOOKUP("T.06.199",Translation,LanguageNo+1,FALSE)</f>
        <v>Sonstige Verbindlichkeiten aus dem Versicherungsgeschäft</v>
      </c>
      <c r="G238" s="64"/>
      <c r="H238" s="36"/>
      <c r="I238" s="79"/>
      <c r="J238" s="180" cm="1">
        <f t="array" ref="J238">IF(ISBLANK(B238),"",G238+SUMPRODUCT(--($H$6:$H$265=B238),$I$6:$I$265,$C$6:$C$265)*C238-I238)</f>
        <v>0</v>
      </c>
      <c r="K238" s="65"/>
      <c r="L238" s="180">
        <f t="shared" si="118"/>
        <v>0</v>
      </c>
      <c r="M238" s="180">
        <f t="shared" si="116"/>
        <v>0</v>
      </c>
      <c r="N238" s="180">
        <f>'SST Balance Sheet BVG'!F238</f>
        <v>0</v>
      </c>
    </row>
    <row r="239" spans="2:14" ht="14.25" customHeight="1" x14ac:dyDescent="0.25">
      <c r="B239" s="70"/>
      <c r="C239" s="183"/>
      <c r="D239" s="70"/>
      <c r="E239" s="70"/>
      <c r="F239" s="71"/>
      <c r="G239" s="72"/>
      <c r="H239" s="72"/>
      <c r="I239" s="72"/>
      <c r="J239" s="184"/>
      <c r="K239" s="72"/>
      <c r="L239" s="184"/>
      <c r="M239" s="184"/>
      <c r="N239" s="184"/>
    </row>
    <row r="240" spans="2:14" ht="14.25" customHeight="1" x14ac:dyDescent="0.25">
      <c r="B240" s="38">
        <f t="shared" ref="B240:B241" si="119">ROW(B240)</f>
        <v>240</v>
      </c>
      <c r="C240" s="179"/>
      <c r="D240" s="381">
        <v>208000000</v>
      </c>
      <c r="E240" s="389" t="s">
        <v>999</v>
      </c>
      <c r="F240" s="108" t="str">
        <f>VLOOKUP("T.06.200",Translation,LanguageNo+1,FALSE)</f>
        <v>2.8 Sonstige Passiven</v>
      </c>
      <c r="G240" s="74">
        <f>SUM(G241:G242)</f>
        <v>0</v>
      </c>
      <c r="H240" s="74"/>
      <c r="I240" s="74"/>
      <c r="J240" s="75">
        <f>SUM(J241:J242)</f>
        <v>0</v>
      </c>
      <c r="K240" s="74">
        <f>SUM(K241:K242)</f>
        <v>0</v>
      </c>
      <c r="L240" s="75">
        <f>SUM(L241:L242)</f>
        <v>0</v>
      </c>
      <c r="M240" s="180">
        <f t="shared" ref="M240:M242" si="120">$N240-$L240</f>
        <v>0</v>
      </c>
      <c r="N240" s="180">
        <f>'SST Balance Sheet BVG'!F240</f>
        <v>0</v>
      </c>
    </row>
    <row r="241" spans="2:14" ht="14.25" customHeight="1" x14ac:dyDescent="0.25">
      <c r="B241" s="38">
        <f t="shared" si="119"/>
        <v>241</v>
      </c>
      <c r="C241" s="181">
        <v>-1</v>
      </c>
      <c r="D241" s="38"/>
      <c r="E241" s="38"/>
      <c r="F241" s="38" t="str">
        <f>VLOOKUP("T.06.201",Translation,LanguageNo+1,FALSE)</f>
        <v>Gegebene Garantien, Bürgschaften</v>
      </c>
      <c r="G241" s="64"/>
      <c r="H241" s="36"/>
      <c r="I241" s="79"/>
      <c r="J241" s="180" cm="1">
        <f t="array" ref="J241">IF(ISBLANK(B241),"",G241+SUMPRODUCT(--($H$6:$H$265=B241),$I$6:$I$265,$C$6:$C$265)*C241-I241)</f>
        <v>0</v>
      </c>
      <c r="K241" s="65"/>
      <c r="L241" s="180">
        <f t="shared" ref="L241:L242" si="121">$J241+$K241</f>
        <v>0</v>
      </c>
      <c r="M241" s="180">
        <f t="shared" si="120"/>
        <v>0</v>
      </c>
      <c r="N241" s="180">
        <f>'SST Balance Sheet BVG'!F241</f>
        <v>0</v>
      </c>
    </row>
    <row r="242" spans="2:14" ht="14.25" customHeight="1" x14ac:dyDescent="0.25">
      <c r="B242" s="38">
        <f t="shared" ref="B242:B261" si="122">ROW(B242)</f>
        <v>242</v>
      </c>
      <c r="C242" s="181">
        <v>-1</v>
      </c>
      <c r="D242" s="180"/>
      <c r="E242" s="107"/>
      <c r="F242" s="38" t="str">
        <f>VLOOKUP("T.06.202",Translation,LanguageNo+1,FALSE)</f>
        <v>Sonstige Verbindlichkeiten</v>
      </c>
      <c r="G242" s="68"/>
      <c r="H242" s="111"/>
      <c r="I242" s="94"/>
      <c r="J242" s="180" cm="1">
        <f t="array" ref="J242">IF(ISBLANK(B242),"",G242+SUMPRODUCT(--($H$6:$H$265=B242),$I$6:$I$265,$C$6:$C$265)*C242-I242)</f>
        <v>0</v>
      </c>
      <c r="K242" s="182"/>
      <c r="L242" s="180">
        <f t="shared" si="121"/>
        <v>0</v>
      </c>
      <c r="M242" s="180">
        <f t="shared" si="120"/>
        <v>0</v>
      </c>
      <c r="N242" s="180">
        <f>'SST Balance Sheet BVG'!F242</f>
        <v>0</v>
      </c>
    </row>
    <row r="243" spans="2:14" s="63" customFormat="1" ht="14.25" customHeight="1" x14ac:dyDescent="0.25">
      <c r="B243" s="70"/>
      <c r="C243" s="183"/>
      <c r="D243" s="70"/>
      <c r="E243" s="70"/>
      <c r="F243" s="71"/>
      <c r="G243" s="72"/>
      <c r="H243" s="72"/>
      <c r="I243" s="72"/>
      <c r="J243" s="184"/>
      <c r="K243" s="72"/>
      <c r="L243" s="184"/>
      <c r="M243" s="184"/>
      <c r="N243" s="184"/>
    </row>
    <row r="244" spans="2:14" ht="14.25" customHeight="1" x14ac:dyDescent="0.25">
      <c r="B244" s="38">
        <f t="shared" si="122"/>
        <v>244</v>
      </c>
      <c r="C244" s="181"/>
      <c r="D244" s="381">
        <v>209000000</v>
      </c>
      <c r="E244" s="389" t="s">
        <v>1000</v>
      </c>
      <c r="F244" s="108" t="str">
        <f>VLOOKUP("T.06.203",Translation,LanguageNo+1,FALSE)</f>
        <v>2.9. Passive Rechnungsabgrenzungen</v>
      </c>
      <c r="G244" s="74">
        <f>SUM(G245:G246)</f>
        <v>0</v>
      </c>
      <c r="H244" s="74"/>
      <c r="I244" s="74"/>
      <c r="J244" s="74">
        <f>SUM(J245:J246)</f>
        <v>0</v>
      </c>
      <c r="K244" s="74">
        <f>SUM(K245:K246)</f>
        <v>0</v>
      </c>
      <c r="L244" s="74">
        <f>SUM(L245:L246)</f>
        <v>0</v>
      </c>
      <c r="M244" s="180">
        <f t="shared" ref="M244:M246" si="123">$N244-$L244</f>
        <v>0</v>
      </c>
      <c r="N244" s="180">
        <f>'SST Balance Sheet BVG'!F244</f>
        <v>0</v>
      </c>
    </row>
    <row r="245" spans="2:14" ht="14.25" customHeight="1" x14ac:dyDescent="0.25">
      <c r="B245" s="38">
        <f t="shared" si="122"/>
        <v>245</v>
      </c>
      <c r="C245" s="181">
        <v>-1</v>
      </c>
      <c r="D245" s="381">
        <v>209000400</v>
      </c>
      <c r="E245" s="408"/>
      <c r="F245" s="38" t="str">
        <f>VLOOKUP("T.06.204",Translation,LanguageNo+1,FALSE)</f>
        <v>Latente Steuerverpflichtungen</v>
      </c>
      <c r="G245" s="101"/>
      <c r="H245" s="290"/>
      <c r="I245" s="237"/>
      <c r="J245" s="180" cm="1">
        <f t="array" ref="J245">IF(ISBLANK(B245),"",G245+SUMPRODUCT(--($H$6:$H$265=B245),$I$6:$I$265,$C$6:$C$265)*C245-I245)</f>
        <v>0</v>
      </c>
      <c r="K245" s="291"/>
      <c r="L245" s="180">
        <f t="shared" ref="L245:L246" si="124">$J245+$K245</f>
        <v>0</v>
      </c>
      <c r="M245" s="180">
        <f t="shared" si="123"/>
        <v>0</v>
      </c>
      <c r="N245" s="292">
        <f>'SST Balance Sheet BVG'!F245</f>
        <v>0</v>
      </c>
    </row>
    <row r="246" spans="2:14" ht="14.25" customHeight="1" x14ac:dyDescent="0.25">
      <c r="B246" s="38">
        <f t="shared" si="122"/>
        <v>246</v>
      </c>
      <c r="C246" s="181">
        <v>-1</v>
      </c>
      <c r="D246" s="381" t="s">
        <v>1444</v>
      </c>
      <c r="E246" s="408"/>
      <c r="F246" s="38" t="str">
        <f>VLOOKUP("T.06.205",Translation,LanguageNo+1,FALSE)</f>
        <v>Sonstige Rechnungsabgrenzungsposten</v>
      </c>
      <c r="G246" s="68"/>
      <c r="H246" s="111"/>
      <c r="I246" s="94"/>
      <c r="J246" s="180" cm="1">
        <f t="array" ref="J246">IF(ISBLANK(B246),"",G246+SUMPRODUCT(--($H$6:$H$265=B246),$I$6:$I$265,$C$6:$C$265)*C246-I246)</f>
        <v>0</v>
      </c>
      <c r="K246" s="182"/>
      <c r="L246" s="180">
        <f t="shared" si="124"/>
        <v>0</v>
      </c>
      <c r="M246" s="180">
        <f t="shared" si="123"/>
        <v>0</v>
      </c>
      <c r="N246" s="180">
        <f>'SST Balance Sheet BVG'!F246</f>
        <v>0</v>
      </c>
    </row>
    <row r="247" spans="2:14" s="63" customFormat="1" ht="14.25" customHeight="1" x14ac:dyDescent="0.25">
      <c r="B247" s="70"/>
      <c r="C247" s="183"/>
      <c r="D247" s="70"/>
      <c r="E247" s="70"/>
      <c r="F247" s="122"/>
      <c r="G247" s="72"/>
      <c r="H247" s="72"/>
      <c r="I247" s="72"/>
      <c r="J247" s="184"/>
      <c r="K247" s="72"/>
      <c r="L247" s="184"/>
      <c r="M247" s="184"/>
      <c r="N247" s="184"/>
    </row>
    <row r="248" spans="2:14" ht="14.25" customHeight="1" x14ac:dyDescent="0.25">
      <c r="B248" s="38">
        <f t="shared" si="122"/>
        <v>248</v>
      </c>
      <c r="C248" s="181"/>
      <c r="D248" s="381">
        <v>210000000</v>
      </c>
      <c r="E248" s="389" t="s">
        <v>1013</v>
      </c>
      <c r="F248" s="385" t="str">
        <f>VLOOKUP("T.06.206",Translation,LanguageNo+1,FALSE)</f>
        <v>2.10 Nachrangige Verbindlichkeiten</v>
      </c>
      <c r="G248" s="75">
        <f>G249+G253+G258</f>
        <v>0</v>
      </c>
      <c r="H248" s="75"/>
      <c r="I248" s="75"/>
      <c r="J248" s="75">
        <f>J249+J253+J258</f>
        <v>0</v>
      </c>
      <c r="K248" s="74">
        <f>K249+K253+K258</f>
        <v>0</v>
      </c>
      <c r="L248" s="75">
        <f>L249+L253+L258</f>
        <v>0</v>
      </c>
      <c r="M248" s="180">
        <f t="shared" ref="M248:M261" si="125">$N248-$L248</f>
        <v>0</v>
      </c>
      <c r="N248" s="180">
        <f>'SST Balance Sheet BVG'!F248</f>
        <v>0</v>
      </c>
    </row>
    <row r="249" spans="2:14" ht="14.25" customHeight="1" x14ac:dyDescent="0.25">
      <c r="B249" s="38">
        <f t="shared" si="122"/>
        <v>249</v>
      </c>
      <c r="C249" s="181"/>
      <c r="D249" s="383">
        <v>210000600</v>
      </c>
      <c r="E249" s="389"/>
      <c r="F249" s="379" t="str">
        <f>VLOOKUP("T.06.207",Translation,LanguageNo+1,FALSE)</f>
        <v>Unbefristete nachrangige Verbindlichkeiten (ohne Abschreibungs- und Wandlungscharakter)</v>
      </c>
      <c r="G249" s="420">
        <f>SUM(G250:G252)</f>
        <v>0</v>
      </c>
      <c r="H249" s="232"/>
      <c r="I249" s="233"/>
      <c r="J249" s="420">
        <f>SUM(J250:J252)</f>
        <v>0</v>
      </c>
      <c r="K249" s="418">
        <f>SUM(K250:K252)</f>
        <v>0</v>
      </c>
      <c r="L249" s="420">
        <f>SUM(L250:L252)</f>
        <v>0</v>
      </c>
      <c r="M249" s="180">
        <f t="shared" si="125"/>
        <v>0</v>
      </c>
      <c r="N249" s="180">
        <f>'SST Balance Sheet BVG'!F249</f>
        <v>0</v>
      </c>
    </row>
    <row r="250" spans="2:14" s="63" customFormat="1" ht="14.25" customHeight="1" x14ac:dyDescent="0.25">
      <c r="B250" s="38">
        <f t="shared" si="122"/>
        <v>250</v>
      </c>
      <c r="C250" s="181">
        <v>-1</v>
      </c>
      <c r="D250" s="381"/>
      <c r="E250" s="389"/>
      <c r="F250" s="398" t="str">
        <f>VLOOKUP("T.06.208",Translation,LanguageNo+1,FALSE)</f>
        <v>Tier 2-RAK - im SST angerechnet</v>
      </c>
      <c r="G250" s="84"/>
      <c r="H250" s="106"/>
      <c r="I250" s="429"/>
      <c r="J250" s="83" cm="1">
        <f t="array" ref="J250">IF(ISBLANK(B250),"",G250+SUMPRODUCT(--($H$6:$H$265=B250),$I$6:$I$265,$C$6:$C$265)*C250-I250)</f>
        <v>0</v>
      </c>
      <c r="K250" s="430"/>
      <c r="L250" s="83">
        <f>$J250+$K250</f>
        <v>0</v>
      </c>
      <c r="M250" s="83">
        <f t="shared" si="125"/>
        <v>0</v>
      </c>
      <c r="N250" s="83">
        <f>'SST Balance Sheet BVG'!F250</f>
        <v>0</v>
      </c>
    </row>
    <row r="251" spans="2:14" s="63" customFormat="1" ht="14.25" customHeight="1" x14ac:dyDescent="0.25">
      <c r="B251" s="38">
        <f t="shared" si="122"/>
        <v>251</v>
      </c>
      <c r="C251" s="181">
        <v>-1</v>
      </c>
      <c r="D251" s="381"/>
      <c r="E251" s="389"/>
      <c r="F251" s="398" t="str">
        <f>VLOOKUP("T.06.209",Translation,LanguageNo+1,FALSE)</f>
        <v>Tier 2-RAK - im SST nicht angerechnet</v>
      </c>
      <c r="G251" s="84"/>
      <c r="H251" s="106"/>
      <c r="I251" s="429"/>
      <c r="J251" s="83" cm="1">
        <f t="array" ref="J251">IF(ISBLANK(B251),"",G251+SUMPRODUCT(--($H$6:$H$265=B251),$I$6:$I$265,$C$6:$C$265)*C251-I251)</f>
        <v>0</v>
      </c>
      <c r="K251" s="430"/>
      <c r="L251" s="83">
        <f>$J251+$K251</f>
        <v>0</v>
      </c>
      <c r="M251" s="83">
        <f t="shared" si="125"/>
        <v>0</v>
      </c>
      <c r="N251" s="83">
        <f>'SST Balance Sheet BVG'!F251</f>
        <v>0</v>
      </c>
    </row>
    <row r="252" spans="2:14" s="63" customFormat="1" ht="14.25" customHeight="1" x14ac:dyDescent="0.25">
      <c r="B252" s="38">
        <f t="shared" si="122"/>
        <v>252</v>
      </c>
      <c r="C252" s="181">
        <v>-1</v>
      </c>
      <c r="D252" s="381"/>
      <c r="E252" s="389"/>
      <c r="F252" s="398" t="str">
        <f>VLOOKUP("T.06.210",Translation,LanguageNo+1,FALSE)</f>
        <v>Andere unbefristete nachrangige Verbindlichkeiten (ohne Abschreibungs- und Wandlungscharakter)</v>
      </c>
      <c r="G252" s="84"/>
      <c r="H252" s="106"/>
      <c r="I252" s="429"/>
      <c r="J252" s="83" cm="1">
        <f t="array" ref="J252">IF(ISBLANK(B252),"",G252+SUMPRODUCT(--($H$6:$H$265=B252),$I$6:$I$265,$C$6:$C$265)*C252-I252)</f>
        <v>0</v>
      </c>
      <c r="K252" s="430"/>
      <c r="L252" s="83">
        <f>$J252+$K252</f>
        <v>0</v>
      </c>
      <c r="M252" s="83">
        <f t="shared" si="125"/>
        <v>0</v>
      </c>
      <c r="N252" s="83">
        <f>'SST Balance Sheet BVG'!F252</f>
        <v>0</v>
      </c>
    </row>
    <row r="253" spans="2:14" s="63" customFormat="1" ht="14.25" customHeight="1" x14ac:dyDescent="0.25">
      <c r="B253" s="38">
        <f t="shared" si="122"/>
        <v>253</v>
      </c>
      <c r="C253" s="181"/>
      <c r="D253" s="381">
        <v>210000700</v>
      </c>
      <c r="E253" s="389"/>
      <c r="F253" s="379" t="str">
        <f>VLOOKUP("T.06.211",Translation,LanguageNo+1,FALSE)</f>
        <v>Unbefristete nachrangige Verbindlichkeiten - Abschreibungs- und Wandlungsinstrumente</v>
      </c>
      <c r="G253" s="417">
        <f>SUM(G254:G257)</f>
        <v>0</v>
      </c>
      <c r="H253" s="296"/>
      <c r="I253" s="297"/>
      <c r="J253" s="419">
        <f>SUM(J254:J257)</f>
        <v>0</v>
      </c>
      <c r="K253" s="296">
        <f>SUM(K254:K257)</f>
        <v>0</v>
      </c>
      <c r="L253" s="419">
        <f>SUM(L254:L257)</f>
        <v>0</v>
      </c>
      <c r="M253" s="180">
        <f t="shared" si="125"/>
        <v>0</v>
      </c>
      <c r="N253" s="180">
        <f>'SST Balance Sheet BVG'!F253</f>
        <v>0</v>
      </c>
    </row>
    <row r="254" spans="2:14" s="63" customFormat="1" ht="14.25" customHeight="1" x14ac:dyDescent="0.25">
      <c r="B254" s="38">
        <f t="shared" si="122"/>
        <v>254</v>
      </c>
      <c r="C254" s="181">
        <v>-1</v>
      </c>
      <c r="D254" s="381"/>
      <c r="E254" s="389"/>
      <c r="F254" s="398" t="str">
        <f>VLOOKUP("T.06.212",Translation,LanguageNo+1,FALSE)</f>
        <v>Tier 1-RAK - Abschreibungsinstrument - im SST angerechnet</v>
      </c>
      <c r="G254" s="427"/>
      <c r="H254" s="307"/>
      <c r="I254" s="439"/>
      <c r="J254" s="83" cm="1">
        <f t="array" ref="J254">IF(ISBLANK(B254),"",G254+SUMPRODUCT(--($H$6:$H$265=B254),$I$6:$I$265,$C$6:$C$265)*C254-I254)</f>
        <v>0</v>
      </c>
      <c r="K254" s="440"/>
      <c r="L254" s="83">
        <f>$J254+$K254</f>
        <v>0</v>
      </c>
      <c r="M254" s="83">
        <f t="shared" si="125"/>
        <v>0</v>
      </c>
      <c r="N254" s="83">
        <f>'SST Balance Sheet BVG'!F254</f>
        <v>0</v>
      </c>
    </row>
    <row r="255" spans="2:14" s="63" customFormat="1" ht="14.25" customHeight="1" x14ac:dyDescent="0.25">
      <c r="B255" s="38">
        <f t="shared" si="122"/>
        <v>255</v>
      </c>
      <c r="C255" s="181">
        <v>-1</v>
      </c>
      <c r="D255" s="381"/>
      <c r="E255" s="389"/>
      <c r="F255" s="398" t="str">
        <f>VLOOKUP("T.06.213",Translation,LanguageNo+1,FALSE)</f>
        <v>Tier 1-RAK - Wandlungsinstrument - im SST angerechnet</v>
      </c>
      <c r="G255" s="84"/>
      <c r="H255" s="106"/>
      <c r="I255" s="429"/>
      <c r="J255" s="83" cm="1">
        <f t="array" ref="J255">IF(ISBLANK(B255),"",G255+SUMPRODUCT(--($H$6:$H$265=B255),$I$6:$I$265,$C$6:$C$265)*C255-I255)</f>
        <v>0</v>
      </c>
      <c r="K255" s="430"/>
      <c r="L255" s="83">
        <f>$J255+$K255</f>
        <v>0</v>
      </c>
      <c r="M255" s="83">
        <f t="shared" si="125"/>
        <v>0</v>
      </c>
      <c r="N255" s="83">
        <f>'SST Balance Sheet BVG'!F255</f>
        <v>0</v>
      </c>
    </row>
    <row r="256" spans="2:14" s="63" customFormat="1" ht="14.25" customHeight="1" x14ac:dyDescent="0.25">
      <c r="B256" s="38">
        <f t="shared" si="122"/>
        <v>256</v>
      </c>
      <c r="C256" s="181">
        <v>-1</v>
      </c>
      <c r="D256" s="381"/>
      <c r="E256" s="389"/>
      <c r="F256" s="398" t="str">
        <f>VLOOKUP("T.06.214",Translation,LanguageNo+1,FALSE)</f>
        <v>Tier 1-RAK - Abschreibungs- und Wandlungsinstrument - im SST nicht angerechnet</v>
      </c>
      <c r="G256" s="84"/>
      <c r="H256" s="106"/>
      <c r="I256" s="429"/>
      <c r="J256" s="83" cm="1">
        <f t="array" ref="J256">IF(ISBLANK(B256),"",G256+SUMPRODUCT(--($H$6:$H$265=B256),$I$6:$I$265,$C$6:$C$265)*C256-I256)</f>
        <v>0</v>
      </c>
      <c r="K256" s="430"/>
      <c r="L256" s="83">
        <f>$J256+$K256</f>
        <v>0</v>
      </c>
      <c r="M256" s="83">
        <f t="shared" si="125"/>
        <v>0</v>
      </c>
      <c r="N256" s="83">
        <f>'SST Balance Sheet BVG'!F256</f>
        <v>0</v>
      </c>
    </row>
    <row r="257" spans="2:14" s="63" customFormat="1" ht="14.25" customHeight="1" x14ac:dyDescent="0.25">
      <c r="B257" s="38">
        <f t="shared" si="122"/>
        <v>257</v>
      </c>
      <c r="C257" s="181"/>
      <c r="D257" s="381">
        <v>210000800</v>
      </c>
      <c r="E257" s="389"/>
      <c r="F257" s="398" t="str">
        <f>VLOOKUP("T.06.215",Translation,LanguageNo+1,FALSE)</f>
        <v>Andere Abschreibungs- und Wandlungsinstrumente</v>
      </c>
      <c r="G257" s="84"/>
      <c r="H257" s="106"/>
      <c r="I257" s="429"/>
      <c r="J257" s="83" cm="1">
        <f t="array" ref="J257">IF(ISBLANK(B257),"",G257+SUMPRODUCT(--($H$6:$H$265=B257),$I$6:$I$265,$C$6:$C$265)*C257-I257)</f>
        <v>0</v>
      </c>
      <c r="K257" s="430"/>
      <c r="L257" s="83">
        <f>$J257+$K257</f>
        <v>0</v>
      </c>
      <c r="M257" s="83">
        <f t="shared" si="125"/>
        <v>0</v>
      </c>
      <c r="N257" s="83">
        <f>'SST Balance Sheet BVG'!F257</f>
        <v>0</v>
      </c>
    </row>
    <row r="258" spans="2:14" s="63" customFormat="1" ht="14.25" customHeight="1" x14ac:dyDescent="0.25">
      <c r="B258" s="38">
        <f t="shared" si="122"/>
        <v>258</v>
      </c>
      <c r="C258" s="181">
        <v>-1</v>
      </c>
      <c r="D258" s="383"/>
      <c r="E258" s="389"/>
      <c r="F258" s="379" t="str">
        <f>VLOOKUP("T.06.216",Translation,LanguageNo+1,FALSE)</f>
        <v>Befristete nachrangige Verbindlichkeiten</v>
      </c>
      <c r="G258" s="293">
        <f>SUM(G259:G261)</f>
        <v>0</v>
      </c>
      <c r="H258" s="293"/>
      <c r="I258" s="293"/>
      <c r="J258" s="188">
        <f>SUM(J259:J261)</f>
        <v>0</v>
      </c>
      <c r="K258" s="293">
        <f>SUM(K259:K261)</f>
        <v>0</v>
      </c>
      <c r="L258" s="188">
        <f>SUM(L259:L261)</f>
        <v>0</v>
      </c>
      <c r="M258" s="180">
        <f t="shared" si="125"/>
        <v>0</v>
      </c>
      <c r="N258" s="180">
        <f>'SST Balance Sheet BVG'!F258</f>
        <v>0</v>
      </c>
    </row>
    <row r="259" spans="2:14" s="63" customFormat="1" ht="14.25" customHeight="1" x14ac:dyDescent="0.25">
      <c r="B259" s="38">
        <f t="shared" si="122"/>
        <v>259</v>
      </c>
      <c r="C259" s="181">
        <v>-1</v>
      </c>
      <c r="D259" s="383"/>
      <c r="E259" s="389"/>
      <c r="F259" s="398" t="str">
        <f>VLOOKUP("T.06.217",Translation,LanguageNo+1,FALSE)</f>
        <v>Tier 2-RAK - im SST angerechnet</v>
      </c>
      <c r="G259" s="427"/>
      <c r="H259" s="307"/>
      <c r="I259" s="439"/>
      <c r="J259" s="83" cm="1">
        <f t="array" ref="J259">IF(ISBLANK(B259),"",G259+SUMPRODUCT(--($H$6:$H$265=B259),$I$6:$I$265,$C$6:$C$265)*C259-I259)</f>
        <v>0</v>
      </c>
      <c r="K259" s="440"/>
      <c r="L259" s="83">
        <f>$J259+$K259</f>
        <v>0</v>
      </c>
      <c r="M259" s="83">
        <f t="shared" si="125"/>
        <v>0</v>
      </c>
      <c r="N259" s="83">
        <f>'SST Balance Sheet BVG'!F259</f>
        <v>0</v>
      </c>
    </row>
    <row r="260" spans="2:14" s="63" customFormat="1" ht="14.25" customHeight="1" x14ac:dyDescent="0.25">
      <c r="B260" s="38">
        <f t="shared" si="122"/>
        <v>260</v>
      </c>
      <c r="C260" s="181">
        <v>-1</v>
      </c>
      <c r="D260" s="381"/>
      <c r="E260" s="389"/>
      <c r="F260" s="398" t="str">
        <f>VLOOKUP("T.06.218",Translation,LanguageNo+1,FALSE)</f>
        <v>Tier 2-RAK - im SST nicht angerechnet</v>
      </c>
      <c r="G260" s="84"/>
      <c r="H260" s="106"/>
      <c r="I260" s="429"/>
      <c r="J260" s="83" cm="1">
        <f t="array" ref="J260">IF(ISBLANK(B260),"",G260+SUMPRODUCT(--($H$6:$H$265=B260),$I$6:$I$265,$C$6:$C$265)*C260-I260)</f>
        <v>0</v>
      </c>
      <c r="K260" s="430"/>
      <c r="L260" s="83">
        <f>$J260+$K260</f>
        <v>0</v>
      </c>
      <c r="M260" s="83">
        <f t="shared" si="125"/>
        <v>0</v>
      </c>
      <c r="N260" s="83">
        <f>'SST Balance Sheet BVG'!F260</f>
        <v>0</v>
      </c>
    </row>
    <row r="261" spans="2:14" s="63" customFormat="1" ht="14.25" customHeight="1" x14ac:dyDescent="0.25">
      <c r="B261" s="38">
        <f t="shared" si="122"/>
        <v>261</v>
      </c>
      <c r="C261" s="181">
        <v>-1</v>
      </c>
      <c r="D261" s="383"/>
      <c r="E261" s="389"/>
      <c r="F261" s="398" t="str">
        <f>VLOOKUP("T.06.219",Translation,LanguageNo+1,FALSE)</f>
        <v>Andere befristete nachrangige Verbindlichkeiten</v>
      </c>
      <c r="G261" s="84"/>
      <c r="H261" s="106"/>
      <c r="I261" s="429"/>
      <c r="J261" s="83" cm="1">
        <f t="array" ref="J261">IF(ISBLANK(B261),"",G261+SUMPRODUCT(--($H$6:$H$265=B261),$I$6:$I$265,$C$6:$C$265)*C261-I261)</f>
        <v>0</v>
      </c>
      <c r="K261" s="430"/>
      <c r="L261" s="83">
        <f>$J261+$K261</f>
        <v>0</v>
      </c>
      <c r="M261" s="83">
        <f t="shared" si="125"/>
        <v>0</v>
      </c>
      <c r="N261" s="83">
        <f>'SST Balance Sheet BVG'!F261</f>
        <v>0</v>
      </c>
    </row>
    <row r="262" spans="2:14" ht="14.25" customHeight="1" x14ac:dyDescent="0.25">
      <c r="B262" s="122"/>
      <c r="C262" s="189"/>
      <c r="D262" s="70"/>
      <c r="E262" s="77"/>
      <c r="F262" s="76"/>
      <c r="G262" s="72"/>
      <c r="H262" s="72"/>
      <c r="I262" s="72"/>
      <c r="J262" s="184"/>
      <c r="K262" s="72"/>
      <c r="L262" s="184"/>
      <c r="M262" s="184"/>
      <c r="N262" s="184"/>
    </row>
    <row r="263" spans="2:14" ht="14.25" customHeight="1" x14ac:dyDescent="0.25">
      <c r="B263" s="195">
        <f t="shared" ref="B263" si="126">ROW(B263)</f>
        <v>263</v>
      </c>
      <c r="C263" s="196"/>
      <c r="D263" s="421">
        <v>211000000</v>
      </c>
      <c r="E263" s="421" t="s">
        <v>979</v>
      </c>
      <c r="F263" s="124" t="str">
        <f>VLOOKUP("T.06.220",Translation,LanguageNo+1,FALSE)</f>
        <v>Total Verbindlichkeiten</v>
      </c>
      <c r="G263" s="197">
        <f>G172+G209+G217+G219+G224+G226+G234+G236+G240+G244+G248</f>
        <v>0</v>
      </c>
      <c r="H263" s="197"/>
      <c r="I263" s="197"/>
      <c r="J263" s="197">
        <f>J172+J209+J217+J219+J224+J226+J234+J236+J240+J244+J248</f>
        <v>0</v>
      </c>
      <c r="K263" s="197">
        <f>K172+K209+K217+K219+K224+K226+K234+K236+K240+K244+K248</f>
        <v>0</v>
      </c>
      <c r="L263" s="197">
        <f>L172+L209+L217+L219+L224+L226+L234+L236+L240+L244+L248</f>
        <v>0</v>
      </c>
      <c r="M263" s="198">
        <f t="shared" ref="M263" si="127">$N263-$L263</f>
        <v>0</v>
      </c>
      <c r="N263" s="198">
        <f>'SST Balance Sheet BVG'!F263</f>
        <v>0</v>
      </c>
    </row>
    <row r="264" spans="2:14" ht="12.75" customHeight="1" x14ac:dyDescent="0.25">
      <c r="B264" s="202"/>
      <c r="C264" s="199"/>
      <c r="D264" s="201"/>
      <c r="E264" s="201"/>
    </row>
    <row r="265" spans="2:14" ht="12.75" customHeight="1" x14ac:dyDescent="0.25">
      <c r="B265" s="202"/>
      <c r="C265" s="199"/>
      <c r="D265" s="201"/>
      <c r="E265" s="201"/>
    </row>
    <row r="266" spans="2:14" ht="12.75" customHeight="1" x14ac:dyDescent="0.25">
      <c r="B266" s="202"/>
      <c r="C266" s="199"/>
      <c r="D266" s="201"/>
      <c r="E266" s="201"/>
    </row>
    <row r="267" spans="2:14" ht="12.75" customHeight="1" x14ac:dyDescent="0.25">
      <c r="B267" s="202"/>
      <c r="C267" s="199"/>
      <c r="E267" s="202"/>
    </row>
    <row r="268" spans="2:14" ht="12.75" customHeight="1" x14ac:dyDescent="0.25">
      <c r="B268" s="202"/>
      <c r="C268" s="199"/>
      <c r="D268" s="201"/>
      <c r="E268" s="125"/>
    </row>
    <row r="269" spans="2:14" ht="12.75" customHeight="1" x14ac:dyDescent="0.25">
      <c r="B269" s="202"/>
      <c r="C269" s="199"/>
      <c r="D269" s="201"/>
      <c r="E269" s="125"/>
    </row>
    <row r="270" spans="2:14" ht="12.75" customHeight="1" x14ac:dyDescent="0.25">
      <c r="B270" s="202"/>
      <c r="C270" s="199"/>
    </row>
    <row r="271" spans="2:14" ht="12.75" customHeight="1" x14ac:dyDescent="0.25">
      <c r="B271" s="202"/>
      <c r="C271" s="199"/>
    </row>
    <row r="272" spans="2:14" ht="12.75" customHeight="1" x14ac:dyDescent="0.25">
      <c r="B272" s="202"/>
      <c r="C272" s="199"/>
    </row>
    <row r="273" spans="2:3" ht="12.75" customHeight="1" x14ac:dyDescent="0.25">
      <c r="B273" s="202"/>
      <c r="C273" s="199"/>
    </row>
    <row r="274" spans="2:3" ht="12.75" customHeight="1" x14ac:dyDescent="0.25">
      <c r="B274" s="202"/>
      <c r="C274" s="199"/>
    </row>
    <row r="275" spans="2:3" ht="12.75" customHeight="1" x14ac:dyDescent="0.25">
      <c r="B275" s="202"/>
      <c r="C275" s="199"/>
    </row>
    <row r="276" spans="2:3" ht="12.75" customHeight="1" x14ac:dyDescent="0.25">
      <c r="B276" s="202"/>
      <c r="C276" s="199"/>
    </row>
    <row r="277" spans="2:3" ht="12.75" customHeight="1" x14ac:dyDescent="0.25">
      <c r="B277" s="202"/>
      <c r="C277" s="199"/>
    </row>
    <row r="278" spans="2:3" ht="12.75" customHeight="1" x14ac:dyDescent="0.25">
      <c r="B278" s="202"/>
      <c r="C278" s="199"/>
    </row>
    <row r="279" spans="2:3" ht="12.75" customHeight="1" x14ac:dyDescent="0.25">
      <c r="B279" s="202"/>
      <c r="C279" s="199"/>
    </row>
    <row r="280" spans="2:3" ht="12.75" customHeight="1" x14ac:dyDescent="0.25">
      <c r="B280" s="202"/>
      <c r="C280" s="199"/>
    </row>
    <row r="281" spans="2:3" ht="12.75" customHeight="1" x14ac:dyDescent="0.25">
      <c r="B281" s="202"/>
      <c r="C281" s="199"/>
    </row>
    <row r="282" spans="2:3" ht="12.75" customHeight="1" x14ac:dyDescent="0.25">
      <c r="B282" s="202"/>
      <c r="C282" s="199"/>
    </row>
    <row r="283" spans="2:3" ht="12.75" customHeight="1" x14ac:dyDescent="0.25">
      <c r="B283" s="202"/>
      <c r="C283" s="199"/>
    </row>
    <row r="284" spans="2:3" ht="12.75" customHeight="1" x14ac:dyDescent="0.25">
      <c r="B284" s="202"/>
      <c r="C284" s="199"/>
    </row>
    <row r="285" spans="2:3" ht="12.75" customHeight="1" x14ac:dyDescent="0.25">
      <c r="B285" s="202"/>
      <c r="C285" s="199"/>
    </row>
    <row r="286" spans="2:3" ht="12.75" customHeight="1" x14ac:dyDescent="0.25">
      <c r="B286" s="202"/>
      <c r="C286" s="199"/>
    </row>
    <row r="287" spans="2:3" ht="12.75" customHeight="1" x14ac:dyDescent="0.25">
      <c r="B287" s="202"/>
      <c r="C287" s="199"/>
    </row>
    <row r="288" spans="2:3" ht="12.75" customHeight="1" x14ac:dyDescent="0.25">
      <c r="B288" s="202"/>
      <c r="C288" s="199"/>
    </row>
    <row r="289" spans="2:3" ht="12.75" customHeight="1" x14ac:dyDescent="0.25">
      <c r="B289" s="202"/>
      <c r="C289" s="199"/>
    </row>
    <row r="290" spans="2:3" ht="12.75" customHeight="1" x14ac:dyDescent="0.25">
      <c r="B290" s="202"/>
      <c r="C290" s="199"/>
    </row>
    <row r="291" spans="2:3" ht="12.75" customHeight="1" x14ac:dyDescent="0.25">
      <c r="B291" s="202"/>
      <c r="C291" s="199"/>
    </row>
    <row r="292" spans="2:3" ht="12.75" customHeight="1" x14ac:dyDescent="0.25">
      <c r="B292" s="202"/>
      <c r="C292" s="199"/>
    </row>
    <row r="293" spans="2:3" ht="12.75" customHeight="1" x14ac:dyDescent="0.25">
      <c r="B293" s="202"/>
      <c r="C293" s="199"/>
    </row>
    <row r="294" spans="2:3" ht="12.75" customHeight="1" x14ac:dyDescent="0.25">
      <c r="B294" s="202"/>
      <c r="C294" s="199"/>
    </row>
    <row r="295" spans="2:3" ht="12.75" customHeight="1" x14ac:dyDescent="0.25">
      <c r="B295" s="202"/>
      <c r="C295" s="199"/>
    </row>
    <row r="296" spans="2:3" ht="12.75" customHeight="1" x14ac:dyDescent="0.25">
      <c r="B296" s="202"/>
      <c r="C296" s="199"/>
    </row>
    <row r="297" spans="2:3" ht="12.75" customHeight="1" x14ac:dyDescent="0.25">
      <c r="B297" s="202"/>
      <c r="C297" s="199"/>
    </row>
    <row r="298" spans="2:3" ht="12.75" customHeight="1" x14ac:dyDescent="0.25">
      <c r="B298" s="202"/>
      <c r="C298" s="199"/>
    </row>
    <row r="299" spans="2:3" ht="12.75" customHeight="1" x14ac:dyDescent="0.25">
      <c r="B299" s="202"/>
      <c r="C299" s="199"/>
    </row>
    <row r="300" spans="2:3" ht="12.75" customHeight="1" x14ac:dyDescent="0.25">
      <c r="B300" s="202"/>
      <c r="C300" s="199"/>
    </row>
    <row r="301" spans="2:3" ht="12.75" customHeight="1" x14ac:dyDescent="0.25">
      <c r="B301" s="202"/>
      <c r="C301" s="199"/>
    </row>
    <row r="302" spans="2:3" ht="12.75" customHeight="1" x14ac:dyDescent="0.25">
      <c r="B302" s="202"/>
      <c r="C302" s="199"/>
    </row>
    <row r="303" spans="2:3" ht="12.75" customHeight="1" x14ac:dyDescent="0.25">
      <c r="B303" s="202"/>
      <c r="C303" s="199"/>
    </row>
    <row r="304" spans="2:3" ht="12.75" customHeight="1" x14ac:dyDescent="0.25">
      <c r="B304" s="202"/>
      <c r="C304" s="199"/>
    </row>
    <row r="305" spans="2:3" ht="12.75" customHeight="1" x14ac:dyDescent="0.25">
      <c r="B305" s="202"/>
      <c r="C305" s="199"/>
    </row>
    <row r="306" spans="2:3" ht="12.75" customHeight="1" x14ac:dyDescent="0.25">
      <c r="B306" s="202"/>
      <c r="C306" s="199"/>
    </row>
    <row r="307" spans="2:3" ht="12.75" customHeight="1" x14ac:dyDescent="0.25">
      <c r="B307" s="202"/>
      <c r="C307" s="199"/>
    </row>
    <row r="308" spans="2:3" ht="12.75" customHeight="1" x14ac:dyDescent="0.25">
      <c r="B308" s="202"/>
      <c r="C308" s="199"/>
    </row>
  </sheetData>
  <conditionalFormatting sqref="H151:H1048576 H1:H149">
    <cfRule type="expression" dxfId="8" priority="182">
      <formula>IF(ISERROR(MATCH($B1,$H:$H,0)),0,1)</formula>
    </cfRule>
  </conditionalFormatting>
  <conditionalFormatting sqref="H151:H263 H8:H149">
    <cfRule type="expression" dxfId="7" priority="181">
      <formula>IF(ISBLANK(H8),0,1)</formula>
    </cfRule>
  </conditionalFormatting>
  <conditionalFormatting sqref="K1:K7 K169:K262 K9:K87 K89:K167">
    <cfRule type="cellIs" dxfId="6" priority="180" operator="notEqual">
      <formula>0</formula>
    </cfRule>
  </conditionalFormatting>
  <pageMargins left="0.70866141732283472" right="0.70866141732283472" top="0.78740157480314965" bottom="0.78740157480314965" header="0.31496062992125984" footer="0.31496062992125984"/>
  <pageSetup paperSize="9" scale="54" fitToHeight="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539E"/>
  </sheetPr>
  <dimension ref="A1:K157"/>
  <sheetViews>
    <sheetView showGridLines="0" zoomScale="90" zoomScaleNormal="90" workbookViewId="0"/>
  </sheetViews>
  <sheetFormatPr baseColWidth="10" defaultColWidth="8.5703125" defaultRowHeight="12.75" customHeight="1" x14ac:dyDescent="0.25"/>
  <cols>
    <col min="1" max="2" width="5.5703125" style="132" customWidth="1"/>
    <col min="3" max="3" width="10" style="132" customWidth="1"/>
    <col min="4" max="4" width="63.5703125" style="132" customWidth="1"/>
    <col min="5" max="11" width="18.5703125" style="132" customWidth="1"/>
    <col min="12" max="16384" width="8.5703125" style="132"/>
  </cols>
  <sheetData>
    <row r="1" spans="1:11" s="126" customFormat="1" ht="20.100000000000001" customHeight="1" x14ac:dyDescent="0.2">
      <c r="A1" s="3">
        <v>6</v>
      </c>
      <c r="B1" s="259" t="str">
        <f>VLOOKUP("T.31.01",Translation,LanguageNo+1,FALSE)</f>
        <v>Anleitung für das Tabellenblatt 5</v>
      </c>
      <c r="D1" s="129"/>
      <c r="E1" s="129"/>
      <c r="F1" s="129"/>
      <c r="G1" s="129"/>
      <c r="H1" s="129"/>
      <c r="I1" s="129"/>
      <c r="J1" s="129"/>
      <c r="K1" s="129"/>
    </row>
    <row r="2" spans="1:11" s="126" customFormat="1" ht="14.25" customHeight="1" x14ac:dyDescent="0.2">
      <c r="B2" s="130"/>
      <c r="C2" s="128"/>
      <c r="D2" s="131"/>
      <c r="E2" s="131"/>
      <c r="F2" s="131"/>
      <c r="G2" s="131"/>
      <c r="H2" s="131"/>
      <c r="I2" s="131"/>
      <c r="J2" s="131"/>
      <c r="K2" s="128"/>
    </row>
    <row r="3" spans="1:11" s="126" customFormat="1" ht="15" x14ac:dyDescent="0.2">
      <c r="B3" s="341" t="s">
        <v>778</v>
      </c>
      <c r="C3" s="128"/>
      <c r="D3" s="131"/>
      <c r="E3" s="131"/>
      <c r="F3" s="131"/>
      <c r="G3" s="131"/>
      <c r="H3" s="131"/>
      <c r="I3" s="131"/>
      <c r="J3" s="131"/>
      <c r="K3" s="128"/>
    </row>
    <row r="4" spans="1:11" s="126" customFormat="1" ht="15" x14ac:dyDescent="0.2">
      <c r="B4" s="341" t="s">
        <v>779</v>
      </c>
      <c r="C4" s="128"/>
      <c r="D4" s="131"/>
      <c r="E4" s="131"/>
      <c r="F4" s="131"/>
      <c r="G4" s="131"/>
      <c r="H4" s="131"/>
      <c r="I4" s="131"/>
      <c r="J4" s="131"/>
      <c r="K4" s="128"/>
    </row>
    <row r="5" spans="1:11" ht="14.25" customHeight="1" x14ac:dyDescent="0.25">
      <c r="B5" s="133"/>
      <c r="C5" s="133"/>
      <c r="D5" s="133"/>
      <c r="E5" s="133"/>
      <c r="F5" s="133"/>
      <c r="G5" s="133"/>
      <c r="H5" s="133"/>
      <c r="I5" s="133"/>
      <c r="J5" s="133"/>
      <c r="K5" s="134"/>
    </row>
    <row r="6" spans="1:11" ht="14.25" customHeight="1" x14ac:dyDescent="0.25">
      <c r="B6" s="635" t="s">
        <v>1344</v>
      </c>
      <c r="C6" s="635"/>
      <c r="D6" s="635"/>
      <c r="E6" s="635"/>
      <c r="F6" s="635"/>
      <c r="G6" s="635"/>
      <c r="H6" s="635"/>
      <c r="I6" s="635"/>
      <c r="J6" s="635"/>
      <c r="K6" s="635"/>
    </row>
    <row r="7" spans="1:11" ht="14.25" customHeight="1" x14ac:dyDescent="0.25">
      <c r="B7" s="635" t="s">
        <v>1345</v>
      </c>
      <c r="C7" s="635"/>
      <c r="D7" s="635"/>
      <c r="E7" s="635"/>
      <c r="F7" s="635"/>
      <c r="G7" s="635"/>
      <c r="H7" s="635"/>
      <c r="I7" s="635"/>
      <c r="J7" s="635"/>
      <c r="K7" s="635"/>
    </row>
    <row r="8" spans="1:11" ht="14.25" customHeight="1" x14ac:dyDescent="0.25">
      <c r="B8" s="634" t="s">
        <v>1654</v>
      </c>
      <c r="C8" s="634"/>
      <c r="D8" s="634"/>
      <c r="E8" s="634"/>
      <c r="F8" s="634"/>
      <c r="G8" s="634"/>
      <c r="H8" s="634"/>
      <c r="I8" s="634"/>
      <c r="J8" s="634"/>
      <c r="K8" s="634"/>
    </row>
    <row r="9" spans="1:11" ht="14.25" customHeight="1" x14ac:dyDescent="0.25">
      <c r="B9" s="135"/>
      <c r="C9" s="135"/>
      <c r="D9" s="135"/>
      <c r="E9" s="135"/>
      <c r="F9" s="135"/>
      <c r="G9" s="135"/>
      <c r="H9" s="135"/>
      <c r="I9" s="135"/>
      <c r="J9" s="135"/>
      <c r="K9" s="135"/>
    </row>
    <row r="10" spans="1:11" ht="14.25" customHeight="1" x14ac:dyDescent="0.25">
      <c r="B10" s="134" t="s">
        <v>613</v>
      </c>
      <c r="C10" s="134"/>
      <c r="D10" s="134"/>
      <c r="E10" s="134"/>
      <c r="F10" s="134"/>
      <c r="G10" s="134"/>
      <c r="H10" s="134"/>
      <c r="I10" s="134"/>
      <c r="J10" s="134"/>
      <c r="K10" s="134"/>
    </row>
    <row r="11" spans="1:11" ht="14.25" customHeight="1" x14ac:dyDescent="0.25">
      <c r="B11" s="136"/>
      <c r="C11" s="136"/>
      <c r="D11" s="136"/>
      <c r="E11" s="136"/>
      <c r="F11" s="136"/>
      <c r="G11" s="136"/>
      <c r="H11" s="136"/>
      <c r="I11" s="136"/>
      <c r="J11" s="136"/>
      <c r="K11" s="137"/>
    </row>
    <row r="12" spans="1:11" ht="14.25" customHeight="1" x14ac:dyDescent="0.25">
      <c r="B12" s="138"/>
      <c r="C12" s="138"/>
      <c r="D12" s="138"/>
      <c r="E12" s="138"/>
      <c r="F12" s="138"/>
      <c r="G12" s="138"/>
      <c r="H12" s="138"/>
      <c r="I12" s="138"/>
      <c r="J12" s="138"/>
      <c r="K12" s="139"/>
    </row>
    <row r="13" spans="1:11" ht="14.25" customHeight="1" x14ac:dyDescent="0.25">
      <c r="B13" s="636" t="s">
        <v>614</v>
      </c>
      <c r="C13" s="636"/>
      <c r="D13" s="636"/>
      <c r="E13" s="636"/>
      <c r="F13" s="636"/>
      <c r="G13" s="636"/>
      <c r="H13" s="636"/>
      <c r="I13" s="636"/>
      <c r="J13" s="636"/>
      <c r="K13" s="636"/>
    </row>
    <row r="14" spans="1:11" ht="14.25" customHeight="1" x14ac:dyDescent="0.25">
      <c r="B14" s="140" t="s">
        <v>615</v>
      </c>
      <c r="C14" s="140"/>
      <c r="D14" s="140"/>
      <c r="E14" s="140"/>
      <c r="F14" s="140"/>
      <c r="G14" s="140"/>
      <c r="H14" s="140"/>
      <c r="I14" s="140"/>
      <c r="J14" s="140"/>
      <c r="K14" s="140"/>
    </row>
    <row r="15" spans="1:11" ht="14.25" customHeight="1" x14ac:dyDescent="0.25">
      <c r="B15" s="140"/>
      <c r="C15" s="140"/>
      <c r="D15" s="140"/>
      <c r="E15" s="140"/>
      <c r="F15" s="140"/>
      <c r="G15" s="140"/>
      <c r="H15" s="140"/>
      <c r="I15" s="140"/>
      <c r="J15" s="140"/>
      <c r="K15" s="140"/>
    </row>
    <row r="16" spans="1:11" ht="14.25" customHeight="1" x14ac:dyDescent="0.25">
      <c r="B16" s="156" t="s">
        <v>823</v>
      </c>
      <c r="C16" s="143"/>
      <c r="D16" s="140"/>
      <c r="E16" s="141" t="s">
        <v>616</v>
      </c>
      <c r="F16" s="141" t="s">
        <v>617</v>
      </c>
      <c r="G16" s="141" t="s">
        <v>620</v>
      </c>
      <c r="H16" s="141" t="s">
        <v>621</v>
      </c>
      <c r="I16" s="142"/>
      <c r="J16" s="142"/>
      <c r="K16" s="142"/>
    </row>
    <row r="17" spans="2:11" ht="14.25" customHeight="1" x14ac:dyDescent="0.25">
      <c r="B17" s="143">
        <v>136</v>
      </c>
      <c r="C17" s="145">
        <v>1</v>
      </c>
      <c r="D17" s="254" t="s">
        <v>415</v>
      </c>
      <c r="E17" s="149">
        <v>50000</v>
      </c>
      <c r="F17" s="150">
        <v>170</v>
      </c>
      <c r="G17" s="149">
        <v>40000</v>
      </c>
      <c r="H17" s="151">
        <f>E17-G17</f>
        <v>10000</v>
      </c>
      <c r="I17" s="144"/>
      <c r="J17" s="144"/>
      <c r="K17" s="144"/>
    </row>
    <row r="18" spans="2:11" ht="14.25" customHeight="1" x14ac:dyDescent="0.25">
      <c r="B18" s="143"/>
      <c r="C18" s="143"/>
      <c r="D18" s="153"/>
      <c r="E18" s="154"/>
      <c r="F18" s="154"/>
      <c r="G18" s="154"/>
      <c r="H18" s="154"/>
      <c r="I18" s="154"/>
      <c r="J18" s="154"/>
      <c r="K18" s="154"/>
    </row>
    <row r="19" spans="2:11" ht="14.25" customHeight="1" x14ac:dyDescent="0.25">
      <c r="B19" s="153"/>
      <c r="C19" s="143"/>
      <c r="D19" s="140"/>
      <c r="E19" s="155"/>
      <c r="F19" s="155"/>
      <c r="G19" s="155"/>
      <c r="H19" s="155"/>
      <c r="I19" s="155"/>
      <c r="J19" s="155"/>
      <c r="K19" s="155"/>
    </row>
    <row r="20" spans="2:11" ht="14.25" customHeight="1" x14ac:dyDescent="0.25">
      <c r="B20" s="156" t="s">
        <v>471</v>
      </c>
      <c r="C20" s="143"/>
      <c r="D20" s="140"/>
      <c r="E20" s="154"/>
      <c r="F20" s="154"/>
      <c r="G20" s="154"/>
      <c r="H20" s="154"/>
      <c r="I20" s="154"/>
      <c r="J20" s="154"/>
      <c r="K20" s="154"/>
    </row>
    <row r="21" spans="2:11" ht="14.25" customHeight="1" x14ac:dyDescent="0.25">
      <c r="B21" s="157"/>
      <c r="C21" s="637" t="s">
        <v>830</v>
      </c>
      <c r="D21" s="638"/>
      <c r="E21" s="158">
        <f>SUM(E22:E23)</f>
        <v>1500000000</v>
      </c>
      <c r="F21" s="158"/>
      <c r="G21" s="158"/>
      <c r="H21" s="158">
        <f>SUM(H22:H23)</f>
        <v>1499960000</v>
      </c>
      <c r="I21" s="159"/>
      <c r="J21" s="159"/>
      <c r="K21" s="159"/>
    </row>
    <row r="22" spans="2:11" ht="14.25" customHeight="1" x14ac:dyDescent="0.25">
      <c r="B22" s="143">
        <v>170</v>
      </c>
      <c r="C22" s="145">
        <v>-1</v>
      </c>
      <c r="D22" s="148" t="s">
        <v>618</v>
      </c>
      <c r="E22" s="149">
        <v>1500000000</v>
      </c>
      <c r="F22" s="150">
        <v>136</v>
      </c>
      <c r="G22" s="149"/>
      <c r="H22" s="151">
        <f>E22-G17</f>
        <v>1499960000</v>
      </c>
      <c r="I22" s="146"/>
      <c r="J22" s="147"/>
      <c r="K22" s="146"/>
    </row>
    <row r="23" spans="2:11" ht="14.25" customHeight="1" x14ac:dyDescent="0.25">
      <c r="B23" s="143">
        <v>176</v>
      </c>
      <c r="C23" s="145">
        <v>-1</v>
      </c>
      <c r="D23" s="160" t="s">
        <v>824</v>
      </c>
      <c r="E23" s="149"/>
      <c r="F23" s="152"/>
      <c r="G23" s="149"/>
      <c r="H23" s="151">
        <v>0</v>
      </c>
      <c r="I23" s="146"/>
      <c r="J23" s="147"/>
      <c r="K23" s="146"/>
    </row>
    <row r="25" spans="2:11" ht="14.25" customHeight="1" x14ac:dyDescent="0.25">
      <c r="B25" s="161"/>
      <c r="C25" s="161"/>
      <c r="D25" s="161"/>
      <c r="E25" s="161"/>
      <c r="F25" s="161"/>
      <c r="G25" s="161"/>
      <c r="H25" s="161"/>
      <c r="I25" s="161"/>
      <c r="J25" s="161"/>
      <c r="K25" s="161"/>
    </row>
    <row r="26" spans="2:11" ht="14.25" customHeight="1" x14ac:dyDescent="0.25">
      <c r="B26" s="136"/>
      <c r="C26" s="136"/>
      <c r="D26" s="136"/>
      <c r="E26" s="136"/>
      <c r="F26" s="136"/>
      <c r="G26" s="136"/>
      <c r="H26" s="136"/>
      <c r="I26" s="136"/>
      <c r="J26" s="136"/>
      <c r="K26" s="137"/>
    </row>
    <row r="27" spans="2:11" ht="14.25" customHeight="1" x14ac:dyDescent="0.25">
      <c r="B27" s="138"/>
      <c r="C27" s="138"/>
      <c r="D27" s="138"/>
      <c r="E27" s="138"/>
      <c r="F27" s="138"/>
      <c r="G27" s="138"/>
      <c r="H27" s="138"/>
      <c r="I27" s="138"/>
      <c r="J27" s="138"/>
      <c r="K27" s="139"/>
    </row>
    <row r="28" spans="2:11" ht="14.25" customHeight="1" x14ac:dyDescent="0.25">
      <c r="B28" s="636" t="s">
        <v>619</v>
      </c>
      <c r="C28" s="636"/>
      <c r="D28" s="636"/>
      <c r="E28" s="636"/>
      <c r="F28" s="636"/>
      <c r="G28" s="636"/>
      <c r="H28" s="636"/>
      <c r="I28" s="636"/>
      <c r="J28" s="636"/>
      <c r="K28" s="636"/>
    </row>
    <row r="29" spans="2:11" ht="14.25" customHeight="1" x14ac:dyDescent="0.25">
      <c r="B29" s="140" t="s">
        <v>826</v>
      </c>
      <c r="C29" s="140"/>
      <c r="D29" s="140"/>
      <c r="E29" s="140"/>
      <c r="F29" s="140"/>
      <c r="G29" s="140"/>
      <c r="H29" s="140"/>
      <c r="I29" s="140"/>
      <c r="J29" s="140"/>
      <c r="K29" s="140"/>
    </row>
    <row r="30" spans="2:11" ht="14.25" customHeight="1" x14ac:dyDescent="0.25">
      <c r="B30" s="140"/>
      <c r="C30" s="140"/>
      <c r="D30" s="140"/>
      <c r="E30" s="140"/>
      <c r="F30" s="140"/>
      <c r="G30" s="140"/>
      <c r="H30" s="140"/>
      <c r="I30" s="140"/>
      <c r="J30" s="140"/>
      <c r="K30" s="140"/>
    </row>
    <row r="31" spans="2:11" ht="14.25" customHeight="1" x14ac:dyDescent="0.25">
      <c r="B31" s="140"/>
      <c r="C31" s="140"/>
      <c r="D31" s="140"/>
      <c r="E31" s="141" t="s">
        <v>616</v>
      </c>
      <c r="F31" s="141" t="s">
        <v>617</v>
      </c>
      <c r="G31" s="141" t="s">
        <v>620</v>
      </c>
      <c r="H31" s="141" t="s">
        <v>621</v>
      </c>
      <c r="I31" s="141" t="s">
        <v>622</v>
      </c>
      <c r="J31" s="141" t="s">
        <v>1657</v>
      </c>
      <c r="K31" s="141" t="s">
        <v>1667</v>
      </c>
    </row>
    <row r="32" spans="2:11" ht="14.25" customHeight="1" x14ac:dyDescent="0.25">
      <c r="B32" s="143"/>
      <c r="C32" s="639" t="s">
        <v>623</v>
      </c>
      <c r="D32" s="638"/>
      <c r="E32" s="162">
        <f>SUM(E33:E37)</f>
        <v>100000</v>
      </c>
      <c r="F32" s="162"/>
      <c r="G32" s="162"/>
      <c r="H32" s="162">
        <f>SUM(H33:H37)</f>
        <v>100000</v>
      </c>
      <c r="I32" s="162"/>
      <c r="J32" s="162">
        <f>SUM(J33:J37)</f>
        <v>0</v>
      </c>
      <c r="K32" s="162">
        <f>SUM(K33:K37)</f>
        <v>100000</v>
      </c>
    </row>
    <row r="33" spans="2:11" ht="14.25" customHeight="1" x14ac:dyDescent="0.25">
      <c r="B33" s="143">
        <v>58</v>
      </c>
      <c r="C33" s="145">
        <v>1</v>
      </c>
      <c r="D33" s="148" t="s">
        <v>125</v>
      </c>
      <c r="E33" s="149">
        <v>100000</v>
      </c>
      <c r="F33" s="152"/>
      <c r="G33" s="149"/>
      <c r="H33" s="151">
        <v>100000</v>
      </c>
      <c r="I33" s="151"/>
      <c r="J33" s="163">
        <v>-65000</v>
      </c>
      <c r="K33" s="164">
        <f>$H33+$J33</f>
        <v>35000</v>
      </c>
    </row>
    <row r="34" spans="2:11" ht="14.25" customHeight="1" x14ac:dyDescent="0.25">
      <c r="B34" s="143">
        <v>59</v>
      </c>
      <c r="C34" s="145">
        <v>1</v>
      </c>
      <c r="D34" s="148" t="s">
        <v>126</v>
      </c>
      <c r="E34" s="149"/>
      <c r="F34" s="152"/>
      <c r="G34" s="149"/>
      <c r="H34" s="151">
        <v>0</v>
      </c>
      <c r="I34" s="151"/>
      <c r="J34" s="163">
        <v>20000</v>
      </c>
      <c r="K34" s="164">
        <f>$H34+$J34</f>
        <v>20000</v>
      </c>
    </row>
    <row r="35" spans="2:11" ht="14.25" customHeight="1" x14ac:dyDescent="0.25">
      <c r="B35" s="143">
        <v>60</v>
      </c>
      <c r="C35" s="145">
        <v>1</v>
      </c>
      <c r="D35" s="148" t="s">
        <v>127</v>
      </c>
      <c r="E35" s="149"/>
      <c r="F35" s="152"/>
      <c r="G35" s="149"/>
      <c r="H35" s="151">
        <v>0</v>
      </c>
      <c r="I35" s="151"/>
      <c r="J35" s="163">
        <v>30000</v>
      </c>
      <c r="K35" s="164">
        <f>$H35+$J35</f>
        <v>30000</v>
      </c>
    </row>
    <row r="36" spans="2:11" ht="14.25" customHeight="1" x14ac:dyDescent="0.25">
      <c r="B36" s="143">
        <v>61</v>
      </c>
      <c r="C36" s="145">
        <v>1</v>
      </c>
      <c r="D36" s="148" t="s">
        <v>825</v>
      </c>
      <c r="E36" s="149"/>
      <c r="F36" s="152"/>
      <c r="G36" s="149"/>
      <c r="H36" s="151">
        <v>0</v>
      </c>
      <c r="I36" s="151"/>
      <c r="J36" s="163">
        <v>5000</v>
      </c>
      <c r="K36" s="164">
        <f>$H36+$J36</f>
        <v>5000</v>
      </c>
    </row>
    <row r="37" spans="2:11" ht="14.25" customHeight="1" x14ac:dyDescent="0.25">
      <c r="B37" s="143">
        <v>62</v>
      </c>
      <c r="C37" s="145">
        <v>1</v>
      </c>
      <c r="D37" s="148" t="s">
        <v>129</v>
      </c>
      <c r="E37" s="149"/>
      <c r="F37" s="152"/>
      <c r="G37" s="149"/>
      <c r="H37" s="151">
        <v>0</v>
      </c>
      <c r="I37" s="151"/>
      <c r="J37" s="163">
        <v>10000</v>
      </c>
      <c r="K37" s="164">
        <f>$H37+$J37</f>
        <v>10000</v>
      </c>
    </row>
    <row r="38" spans="2:11" ht="14.25" customHeight="1" x14ac:dyDescent="0.25">
      <c r="B38" s="161"/>
      <c r="C38" s="161"/>
      <c r="D38" s="161"/>
      <c r="E38" s="161"/>
      <c r="F38" s="161"/>
      <c r="G38" s="161"/>
      <c r="H38" s="161"/>
      <c r="I38" s="161"/>
      <c r="J38" s="161"/>
      <c r="K38" s="161"/>
    </row>
    <row r="39" spans="2:11" ht="14.25" customHeight="1" x14ac:dyDescent="0.25">
      <c r="B39" s="134"/>
      <c r="C39" s="134"/>
      <c r="D39" s="134"/>
      <c r="E39" s="134"/>
      <c r="F39" s="134"/>
      <c r="G39" s="134"/>
      <c r="H39" s="134"/>
      <c r="I39" s="134"/>
      <c r="J39" s="134"/>
      <c r="K39" s="134"/>
    </row>
    <row r="40" spans="2:11" ht="14.25" customHeight="1" x14ac:dyDescent="0.25">
      <c r="B40" s="640"/>
      <c r="C40" s="640"/>
      <c r="D40" s="133"/>
      <c r="E40" s="133"/>
      <c r="F40" s="133"/>
      <c r="G40" s="133"/>
      <c r="H40" s="133"/>
      <c r="I40" s="133"/>
      <c r="J40" s="133"/>
      <c r="K40" s="134"/>
    </row>
    <row r="41" spans="2:11" ht="14.25" customHeight="1" x14ac:dyDescent="0.25">
      <c r="B41" s="633" t="s">
        <v>624</v>
      </c>
      <c r="C41" s="633"/>
      <c r="D41" s="634" t="s">
        <v>625</v>
      </c>
      <c r="E41" s="634"/>
      <c r="F41" s="634"/>
      <c r="G41" s="634"/>
      <c r="H41" s="634"/>
      <c r="I41" s="634"/>
      <c r="J41" s="634"/>
      <c r="K41" s="634"/>
    </row>
    <row r="42" spans="2:11" ht="14.25" customHeight="1" x14ac:dyDescent="0.25">
      <c r="B42" s="633" t="s">
        <v>626</v>
      </c>
      <c r="C42" s="633"/>
      <c r="D42" s="634" t="s">
        <v>627</v>
      </c>
      <c r="E42" s="634"/>
      <c r="F42" s="634"/>
      <c r="G42" s="634"/>
      <c r="H42" s="634"/>
      <c r="I42" s="634"/>
      <c r="J42" s="634"/>
      <c r="K42" s="634"/>
    </row>
    <row r="43" spans="2:11" ht="14.25" customHeight="1" x14ac:dyDescent="0.25">
      <c r="B43" s="633" t="s">
        <v>628</v>
      </c>
      <c r="C43" s="633"/>
      <c r="D43" s="634" t="s">
        <v>1658</v>
      </c>
      <c r="E43" s="634"/>
      <c r="F43" s="634"/>
      <c r="G43" s="634"/>
      <c r="H43" s="634"/>
      <c r="I43" s="634"/>
      <c r="J43" s="634"/>
      <c r="K43" s="634"/>
    </row>
    <row r="44" spans="2:11" ht="14.25" customHeight="1" x14ac:dyDescent="0.25">
      <c r="B44" s="633" t="s">
        <v>1659</v>
      </c>
      <c r="C44" s="633"/>
      <c r="D44" s="634" t="s">
        <v>1660</v>
      </c>
      <c r="E44" s="634"/>
      <c r="F44" s="634"/>
      <c r="G44" s="634"/>
      <c r="H44" s="634"/>
      <c r="I44" s="634"/>
      <c r="J44" s="634"/>
      <c r="K44" s="634"/>
    </row>
    <row r="45" spans="2:11" ht="14.25" customHeight="1" x14ac:dyDescent="0.25">
      <c r="B45" s="633" t="s">
        <v>1668</v>
      </c>
      <c r="C45" s="633"/>
      <c r="D45" s="634" t="s">
        <v>1669</v>
      </c>
      <c r="E45" s="634"/>
      <c r="F45" s="634"/>
      <c r="G45" s="634"/>
      <c r="H45" s="634"/>
      <c r="I45" s="634"/>
      <c r="J45" s="634"/>
      <c r="K45" s="634"/>
    </row>
    <row r="46" spans="2:11" ht="14.25" customHeight="1" x14ac:dyDescent="0.25">
      <c r="B46" s="165"/>
      <c r="C46" s="165"/>
      <c r="D46" s="634"/>
      <c r="E46" s="634"/>
      <c r="F46" s="634"/>
      <c r="G46" s="634"/>
      <c r="H46" s="634"/>
      <c r="I46" s="634"/>
      <c r="J46" s="634"/>
      <c r="K46" s="634"/>
    </row>
    <row r="47" spans="2:11" ht="14.25" customHeight="1" x14ac:dyDescent="0.25">
      <c r="B47" s="136"/>
      <c r="C47" s="136"/>
      <c r="D47" s="137"/>
      <c r="E47" s="137"/>
      <c r="F47" s="137"/>
      <c r="G47" s="137"/>
      <c r="H47" s="137"/>
      <c r="I47" s="137"/>
      <c r="J47" s="137"/>
      <c r="K47" s="137"/>
    </row>
    <row r="48" spans="2:11" ht="14.25" customHeight="1" x14ac:dyDescent="0.25">
      <c r="B48" s="166" t="s">
        <v>629</v>
      </c>
      <c r="C48" s="167"/>
      <c r="D48" s="168"/>
      <c r="E48" s="137"/>
      <c r="F48" s="137"/>
      <c r="G48" s="137"/>
      <c r="H48" s="137"/>
      <c r="I48" s="137"/>
      <c r="J48" s="137"/>
      <c r="K48" s="137"/>
    </row>
    <row r="49" spans="2:11" ht="14.25" customHeight="1" x14ac:dyDescent="0.25">
      <c r="B49" s="169" t="s">
        <v>628</v>
      </c>
      <c r="C49" s="167"/>
      <c r="D49" s="168"/>
      <c r="E49" s="137"/>
      <c r="F49" s="137"/>
      <c r="G49" s="137"/>
      <c r="H49" s="137"/>
      <c r="I49" s="137"/>
      <c r="J49" s="137"/>
      <c r="K49" s="137"/>
    </row>
    <row r="50" spans="2:11" ht="14.25" customHeight="1" x14ac:dyDescent="0.25">
      <c r="B50" s="167"/>
      <c r="C50" s="167" t="s">
        <v>630</v>
      </c>
      <c r="D50" s="168" t="s">
        <v>631</v>
      </c>
      <c r="E50" s="137"/>
      <c r="F50" s="137"/>
      <c r="G50" s="137"/>
      <c r="H50" s="137"/>
      <c r="I50" s="137"/>
      <c r="J50" s="137"/>
      <c r="K50" s="137"/>
    </row>
    <row r="51" spans="2:11" ht="14.25" customHeight="1" x14ac:dyDescent="0.25">
      <c r="B51" s="167"/>
      <c r="C51" s="167" t="s">
        <v>632</v>
      </c>
      <c r="D51" s="168" t="s">
        <v>633</v>
      </c>
      <c r="E51" s="137"/>
      <c r="F51" s="137"/>
      <c r="G51" s="137"/>
      <c r="H51" s="137"/>
      <c r="I51" s="137"/>
      <c r="J51" s="137"/>
      <c r="K51" s="137"/>
    </row>
    <row r="52" spans="2:11" ht="14.25" customHeight="1" x14ac:dyDescent="0.25">
      <c r="B52" s="169" t="s">
        <v>1668</v>
      </c>
      <c r="C52" s="167"/>
      <c r="D52" s="168"/>
      <c r="E52" s="137"/>
      <c r="F52" s="137"/>
      <c r="G52" s="137"/>
      <c r="H52" s="137"/>
      <c r="I52" s="137"/>
      <c r="J52" s="137"/>
      <c r="K52" s="137"/>
    </row>
    <row r="53" spans="2:11" ht="14.25" customHeight="1" x14ac:dyDescent="0.25">
      <c r="B53" s="167"/>
      <c r="C53" s="167" t="s">
        <v>634</v>
      </c>
      <c r="D53" s="168" t="s">
        <v>635</v>
      </c>
      <c r="E53" s="137"/>
      <c r="F53" s="137"/>
      <c r="G53" s="137"/>
      <c r="H53" s="137"/>
      <c r="I53" s="137"/>
      <c r="J53" s="137"/>
      <c r="K53" s="137"/>
    </row>
    <row r="54" spans="2:11" s="263" customFormat="1" ht="14.25" customHeight="1" x14ac:dyDescent="0.25">
      <c r="B54" s="167"/>
      <c r="C54" s="167"/>
      <c r="D54" s="168"/>
      <c r="E54" s="264"/>
      <c r="F54" s="264"/>
      <c r="G54" s="264"/>
      <c r="H54" s="264"/>
      <c r="I54" s="264"/>
      <c r="J54" s="264"/>
      <c r="K54" s="264"/>
    </row>
    <row r="55" spans="2:11" ht="12.75" customHeight="1" x14ac:dyDescent="0.25">
      <c r="B55" s="165"/>
      <c r="C55" s="165"/>
      <c r="D55" s="137"/>
      <c r="E55" s="137"/>
      <c r="F55" s="137"/>
      <c r="G55" s="137"/>
      <c r="H55" s="137"/>
      <c r="I55" s="137"/>
      <c r="J55" s="137"/>
      <c r="K55" s="137"/>
    </row>
    <row r="56" spans="2:11" ht="12.75" customHeight="1" x14ac:dyDescent="0.25">
      <c r="B56" s="165"/>
      <c r="C56" s="165"/>
      <c r="D56" s="243"/>
      <c r="E56" s="243"/>
      <c r="F56" s="243"/>
      <c r="G56" s="243"/>
      <c r="H56" s="243"/>
      <c r="I56" s="243"/>
      <c r="J56" s="243"/>
      <c r="K56" s="243"/>
    </row>
    <row r="57" spans="2:11" ht="20.100000000000001" customHeight="1" x14ac:dyDescent="0.25">
      <c r="B57" s="4" t="s">
        <v>778</v>
      </c>
      <c r="C57" s="134"/>
      <c r="D57" s="134"/>
      <c r="E57" s="134"/>
      <c r="F57" s="134"/>
      <c r="G57" s="134"/>
      <c r="H57" s="134"/>
      <c r="I57" s="134"/>
      <c r="J57" s="134"/>
      <c r="K57" s="134"/>
    </row>
    <row r="58" spans="2:11" ht="12.75" customHeight="1" x14ac:dyDescent="0.25">
      <c r="B58" s="4"/>
      <c r="C58" s="134"/>
      <c r="D58" s="134"/>
      <c r="E58" s="134"/>
      <c r="F58" s="134"/>
      <c r="G58" s="134"/>
      <c r="H58" s="134"/>
      <c r="I58" s="134"/>
      <c r="J58" s="134"/>
      <c r="K58" s="134"/>
    </row>
    <row r="59" spans="2:11" ht="12.75" customHeight="1" x14ac:dyDescent="0.25">
      <c r="B59" s="635" t="s">
        <v>1346</v>
      </c>
      <c r="C59" s="635"/>
      <c r="D59" s="635"/>
      <c r="E59" s="635"/>
      <c r="F59" s="635"/>
      <c r="G59" s="635"/>
      <c r="H59" s="635"/>
      <c r="I59" s="635"/>
      <c r="J59" s="635"/>
      <c r="K59" s="635"/>
    </row>
    <row r="60" spans="2:11" ht="12.75" customHeight="1" x14ac:dyDescent="0.25">
      <c r="B60" s="635" t="s">
        <v>1347</v>
      </c>
      <c r="C60" s="635"/>
      <c r="D60" s="635"/>
      <c r="E60" s="635"/>
      <c r="F60" s="635"/>
      <c r="G60" s="635"/>
      <c r="H60" s="635"/>
      <c r="I60" s="635"/>
      <c r="J60" s="635"/>
      <c r="K60" s="635"/>
    </row>
    <row r="61" spans="2:11" ht="12.75" customHeight="1" x14ac:dyDescent="0.25">
      <c r="B61" s="634" t="s">
        <v>1655</v>
      </c>
      <c r="C61" s="634"/>
      <c r="D61" s="634"/>
      <c r="E61" s="634"/>
      <c r="F61" s="634"/>
      <c r="G61" s="634"/>
      <c r="H61" s="634"/>
      <c r="I61" s="634"/>
      <c r="J61" s="634"/>
      <c r="K61" s="634"/>
    </row>
    <row r="62" spans="2:11" ht="12.75" customHeight="1" x14ac:dyDescent="0.25">
      <c r="B62" s="135"/>
      <c r="C62" s="135"/>
      <c r="D62" s="135"/>
      <c r="E62" s="135"/>
      <c r="F62" s="135"/>
      <c r="G62" s="135"/>
      <c r="H62" s="135"/>
      <c r="I62" s="135"/>
      <c r="J62" s="135"/>
      <c r="K62" s="135"/>
    </row>
    <row r="63" spans="2:11" ht="12.75" customHeight="1" x14ac:dyDescent="0.25">
      <c r="B63" s="134" t="s">
        <v>805</v>
      </c>
      <c r="C63" s="134"/>
      <c r="D63" s="134"/>
      <c r="E63" s="134"/>
      <c r="F63" s="134"/>
      <c r="G63" s="134"/>
      <c r="H63" s="134"/>
      <c r="I63" s="134"/>
      <c r="J63" s="134"/>
      <c r="K63" s="134"/>
    </row>
    <row r="64" spans="2:11" ht="12.75" customHeight="1" x14ac:dyDescent="0.25">
      <c r="B64" s="251"/>
      <c r="C64" s="251"/>
      <c r="D64" s="251"/>
      <c r="E64" s="251"/>
      <c r="F64" s="251"/>
      <c r="G64" s="251"/>
      <c r="H64" s="251"/>
      <c r="I64" s="251"/>
      <c r="J64" s="251"/>
      <c r="K64" s="252"/>
    </row>
    <row r="65" spans="2:11" ht="12.75" customHeight="1" x14ac:dyDescent="0.25">
      <c r="B65" s="138"/>
      <c r="C65" s="138"/>
      <c r="D65" s="138"/>
      <c r="E65" s="138"/>
      <c r="F65" s="138"/>
      <c r="G65" s="138"/>
      <c r="H65" s="138"/>
      <c r="I65" s="138"/>
      <c r="J65" s="138"/>
      <c r="K65" s="139"/>
    </row>
    <row r="66" spans="2:11" ht="12.75" customHeight="1" x14ac:dyDescent="0.25">
      <c r="B66" s="636" t="s">
        <v>806</v>
      </c>
      <c r="C66" s="636"/>
      <c r="D66" s="636"/>
      <c r="E66" s="636"/>
      <c r="F66" s="636"/>
      <c r="G66" s="636"/>
      <c r="H66" s="636"/>
      <c r="I66" s="636"/>
      <c r="J66" s="636"/>
      <c r="K66" s="636"/>
    </row>
    <row r="67" spans="2:11" ht="12.75" customHeight="1" x14ac:dyDescent="0.25">
      <c r="B67" s="140" t="s">
        <v>807</v>
      </c>
      <c r="C67" s="140"/>
      <c r="D67" s="140"/>
      <c r="E67" s="140"/>
      <c r="F67" s="140"/>
      <c r="G67" s="140"/>
      <c r="H67" s="140"/>
      <c r="I67" s="140"/>
      <c r="J67" s="140"/>
      <c r="K67" s="140"/>
    </row>
    <row r="68" spans="2:11" ht="12.75" customHeight="1" x14ac:dyDescent="0.25">
      <c r="B68" s="140"/>
      <c r="C68" s="140"/>
      <c r="D68" s="140"/>
      <c r="E68" s="140"/>
      <c r="F68" s="140"/>
      <c r="G68" s="140"/>
      <c r="H68" s="140"/>
      <c r="I68" s="140"/>
      <c r="J68" s="140"/>
      <c r="K68" s="140"/>
    </row>
    <row r="69" spans="2:11" ht="12.75" customHeight="1" x14ac:dyDescent="0.25">
      <c r="B69" s="255" t="s">
        <v>827</v>
      </c>
      <c r="C69" s="256"/>
      <c r="D69" s="140"/>
      <c r="E69" s="141" t="s">
        <v>616</v>
      </c>
      <c r="F69" s="141" t="s">
        <v>617</v>
      </c>
      <c r="G69" s="141" t="s">
        <v>620</v>
      </c>
      <c r="H69" s="141" t="s">
        <v>621</v>
      </c>
      <c r="I69" s="142"/>
      <c r="J69" s="142"/>
      <c r="K69" s="142"/>
    </row>
    <row r="70" spans="2:11" ht="12.75" customHeight="1" x14ac:dyDescent="0.25">
      <c r="B70" s="143">
        <v>136</v>
      </c>
      <c r="C70" s="145">
        <v>1</v>
      </c>
      <c r="D70" s="254" t="s">
        <v>416</v>
      </c>
      <c r="E70" s="149">
        <v>50000</v>
      </c>
      <c r="F70" s="150">
        <v>170</v>
      </c>
      <c r="G70" s="149">
        <v>40000</v>
      </c>
      <c r="H70" s="151">
        <f>E70-G70</f>
        <v>10000</v>
      </c>
      <c r="I70" s="144"/>
      <c r="J70" s="144"/>
      <c r="K70" s="144"/>
    </row>
    <row r="71" spans="2:11" ht="12.75" customHeight="1" x14ac:dyDescent="0.25">
      <c r="B71" s="143"/>
      <c r="C71" s="143"/>
      <c r="D71" s="153"/>
      <c r="E71" s="154"/>
      <c r="F71" s="154"/>
      <c r="G71" s="154"/>
      <c r="H71" s="154"/>
      <c r="I71" s="154"/>
      <c r="J71" s="154"/>
      <c r="K71" s="154"/>
    </row>
    <row r="72" spans="2:11" ht="12.75" customHeight="1" x14ac:dyDescent="0.25">
      <c r="B72" s="153"/>
      <c r="C72" s="143"/>
      <c r="D72" s="140"/>
      <c r="E72" s="155"/>
      <c r="F72" s="155"/>
      <c r="G72" s="155"/>
      <c r="H72" s="155"/>
      <c r="I72" s="155"/>
      <c r="J72" s="155"/>
      <c r="K72" s="155"/>
    </row>
    <row r="73" spans="2:11" ht="12.75" customHeight="1" x14ac:dyDescent="0.25">
      <c r="B73" s="156" t="s">
        <v>472</v>
      </c>
      <c r="C73" s="143"/>
      <c r="D73" s="140"/>
      <c r="E73" s="154"/>
      <c r="F73" s="154"/>
      <c r="G73" s="154"/>
      <c r="H73" s="154"/>
      <c r="I73" s="154"/>
      <c r="J73" s="154"/>
      <c r="K73" s="154"/>
    </row>
    <row r="74" spans="2:11" ht="12.75" customHeight="1" x14ac:dyDescent="0.25">
      <c r="B74" s="157"/>
      <c r="C74" s="637" t="s">
        <v>829</v>
      </c>
      <c r="D74" s="638"/>
      <c r="E74" s="158">
        <f>SUM(E75:E76)</f>
        <v>1500000000</v>
      </c>
      <c r="F74" s="158"/>
      <c r="G74" s="158"/>
      <c r="H74" s="158">
        <f>SUM(H75:H76)</f>
        <v>1499960000</v>
      </c>
      <c r="I74" s="159"/>
      <c r="J74" s="159"/>
      <c r="K74" s="159"/>
    </row>
    <row r="75" spans="2:11" ht="12.75" customHeight="1" x14ac:dyDescent="0.25">
      <c r="B75" s="143">
        <v>170</v>
      </c>
      <c r="C75" s="145">
        <v>-1</v>
      </c>
      <c r="D75" s="148" t="s">
        <v>808</v>
      </c>
      <c r="E75" s="149">
        <v>1500000000</v>
      </c>
      <c r="F75" s="150">
        <v>136</v>
      </c>
      <c r="G75" s="149"/>
      <c r="H75" s="151">
        <f>E75-G70</f>
        <v>1499960000</v>
      </c>
      <c r="I75" s="146"/>
      <c r="J75" s="147"/>
      <c r="K75" s="146"/>
    </row>
    <row r="76" spans="2:11" ht="12.75" customHeight="1" x14ac:dyDescent="0.25">
      <c r="B76" s="143">
        <v>176</v>
      </c>
      <c r="C76" s="145">
        <v>-1</v>
      </c>
      <c r="D76" s="160" t="s">
        <v>828</v>
      </c>
      <c r="E76" s="149"/>
      <c r="F76" s="152"/>
      <c r="G76" s="149"/>
      <c r="H76" s="151">
        <v>0</v>
      </c>
      <c r="I76" s="146"/>
      <c r="J76" s="147"/>
      <c r="K76" s="146"/>
    </row>
    <row r="77" spans="2:11" ht="12.75" customHeight="1" x14ac:dyDescent="0.25">
      <c r="B77" s="161"/>
      <c r="C77" s="161"/>
      <c r="D77" s="161"/>
      <c r="E77" s="161"/>
      <c r="F77" s="161"/>
      <c r="G77" s="161"/>
      <c r="H77" s="161"/>
      <c r="I77" s="161"/>
      <c r="J77" s="161"/>
      <c r="K77" s="161"/>
    </row>
    <row r="78" spans="2:11" ht="12.75" customHeight="1" x14ac:dyDescent="0.25">
      <c r="B78" s="251"/>
      <c r="C78" s="251"/>
      <c r="D78" s="251"/>
      <c r="E78" s="251"/>
      <c r="F78" s="251"/>
      <c r="G78" s="251"/>
      <c r="H78" s="251"/>
      <c r="I78" s="251"/>
      <c r="J78" s="251"/>
      <c r="K78" s="252"/>
    </row>
    <row r="79" spans="2:11" ht="12.75" customHeight="1" x14ac:dyDescent="0.25">
      <c r="B79" s="138"/>
      <c r="C79" s="138"/>
      <c r="D79" s="138"/>
      <c r="E79" s="138"/>
      <c r="F79" s="138"/>
      <c r="G79" s="138"/>
      <c r="H79" s="138"/>
      <c r="I79" s="138"/>
      <c r="J79" s="138"/>
      <c r="K79" s="139"/>
    </row>
    <row r="80" spans="2:11" ht="12.75" customHeight="1" x14ac:dyDescent="0.25">
      <c r="B80" s="636" t="s">
        <v>809</v>
      </c>
      <c r="C80" s="636"/>
      <c r="D80" s="636"/>
      <c r="E80" s="636"/>
      <c r="F80" s="636"/>
      <c r="G80" s="636"/>
      <c r="H80" s="636"/>
      <c r="I80" s="636"/>
      <c r="J80" s="636"/>
      <c r="K80" s="636"/>
    </row>
    <row r="81" spans="2:11" ht="12.75" customHeight="1" x14ac:dyDescent="0.25">
      <c r="B81" s="140" t="s">
        <v>831</v>
      </c>
      <c r="C81" s="140"/>
      <c r="D81" s="140"/>
      <c r="E81" s="140"/>
      <c r="F81" s="140"/>
      <c r="G81" s="140"/>
      <c r="H81" s="140"/>
      <c r="I81" s="140"/>
      <c r="J81" s="140"/>
      <c r="K81" s="140"/>
    </row>
    <row r="82" spans="2:11" ht="12.75" customHeight="1" x14ac:dyDescent="0.25">
      <c r="B82" s="140"/>
      <c r="C82" s="140"/>
      <c r="D82" s="140"/>
      <c r="E82" s="140"/>
      <c r="F82" s="140"/>
      <c r="G82" s="140"/>
      <c r="H82" s="140"/>
      <c r="I82" s="140"/>
      <c r="J82" s="140"/>
      <c r="K82" s="140"/>
    </row>
    <row r="83" spans="2:11" ht="12.75" customHeight="1" x14ac:dyDescent="0.25">
      <c r="B83" s="140"/>
      <c r="C83" s="140"/>
      <c r="D83" s="140"/>
      <c r="E83" s="141" t="s">
        <v>616</v>
      </c>
      <c r="F83" s="141" t="s">
        <v>617</v>
      </c>
      <c r="G83" s="141" t="s">
        <v>620</v>
      </c>
      <c r="H83" s="141" t="s">
        <v>621</v>
      </c>
      <c r="I83" s="141" t="s">
        <v>622</v>
      </c>
      <c r="J83" s="141" t="s">
        <v>1657</v>
      </c>
      <c r="K83" s="141" t="s">
        <v>1667</v>
      </c>
    </row>
    <row r="84" spans="2:11" ht="12.75" customHeight="1" x14ac:dyDescent="0.25">
      <c r="B84" s="143"/>
      <c r="C84" s="639" t="s">
        <v>810</v>
      </c>
      <c r="D84" s="638"/>
      <c r="E84" s="162">
        <f>SUM(E85:E89)</f>
        <v>100000</v>
      </c>
      <c r="F84" s="162"/>
      <c r="G84" s="162"/>
      <c r="H84" s="162">
        <f>SUM(H85:H89)</f>
        <v>100000</v>
      </c>
      <c r="I84" s="162"/>
      <c r="J84" s="162">
        <f>SUM(J85:J89)</f>
        <v>0</v>
      </c>
      <c r="K84" s="162">
        <f>SUM(K85:K89)</f>
        <v>100000</v>
      </c>
    </row>
    <row r="85" spans="2:11" ht="12.75" customHeight="1" x14ac:dyDescent="0.25">
      <c r="B85" s="143">
        <v>58</v>
      </c>
      <c r="C85" s="145">
        <v>1</v>
      </c>
      <c r="D85" s="148" t="s">
        <v>260</v>
      </c>
      <c r="E85" s="149">
        <v>100000</v>
      </c>
      <c r="F85" s="152"/>
      <c r="G85" s="149"/>
      <c r="H85" s="151">
        <v>100000</v>
      </c>
      <c r="I85" s="151"/>
      <c r="J85" s="163">
        <v>-65000</v>
      </c>
      <c r="K85" s="164">
        <f>$H85+$J85</f>
        <v>35000</v>
      </c>
    </row>
    <row r="86" spans="2:11" ht="12.75" customHeight="1" x14ac:dyDescent="0.25">
      <c r="B86" s="143">
        <v>59</v>
      </c>
      <c r="C86" s="145">
        <v>1</v>
      </c>
      <c r="D86" s="148" t="s">
        <v>263</v>
      </c>
      <c r="E86" s="149"/>
      <c r="F86" s="152"/>
      <c r="G86" s="149"/>
      <c r="H86" s="151">
        <v>0</v>
      </c>
      <c r="I86" s="151"/>
      <c r="J86" s="163">
        <v>20000</v>
      </c>
      <c r="K86" s="164">
        <f>$H86+$J86</f>
        <v>20000</v>
      </c>
    </row>
    <row r="87" spans="2:11" ht="12.75" customHeight="1" x14ac:dyDescent="0.25">
      <c r="B87" s="143">
        <v>60</v>
      </c>
      <c r="C87" s="145">
        <v>1</v>
      </c>
      <c r="D87" s="148" t="s">
        <v>266</v>
      </c>
      <c r="E87" s="149"/>
      <c r="F87" s="152"/>
      <c r="G87" s="149"/>
      <c r="H87" s="151">
        <v>0</v>
      </c>
      <c r="I87" s="151"/>
      <c r="J87" s="163">
        <v>30000</v>
      </c>
      <c r="K87" s="164">
        <f>$H87+$J87</f>
        <v>30000</v>
      </c>
    </row>
    <row r="88" spans="2:11" ht="12.75" customHeight="1" x14ac:dyDescent="0.25">
      <c r="B88" s="143">
        <v>61</v>
      </c>
      <c r="C88" s="145">
        <v>1</v>
      </c>
      <c r="D88" s="148" t="s">
        <v>269</v>
      </c>
      <c r="E88" s="149"/>
      <c r="F88" s="152"/>
      <c r="G88" s="149"/>
      <c r="H88" s="151">
        <v>0</v>
      </c>
      <c r="I88" s="151"/>
      <c r="J88" s="163">
        <v>5000</v>
      </c>
      <c r="K88" s="164">
        <f>$H88+$J88</f>
        <v>5000</v>
      </c>
    </row>
    <row r="89" spans="2:11" ht="12.75" customHeight="1" x14ac:dyDescent="0.25">
      <c r="B89" s="143">
        <v>62</v>
      </c>
      <c r="C89" s="145">
        <v>1</v>
      </c>
      <c r="D89" s="148" t="s">
        <v>272</v>
      </c>
      <c r="E89" s="149"/>
      <c r="F89" s="152"/>
      <c r="G89" s="149"/>
      <c r="H89" s="151">
        <v>0</v>
      </c>
      <c r="I89" s="151"/>
      <c r="J89" s="163">
        <v>10000</v>
      </c>
      <c r="K89" s="164">
        <f>$H89+$J89</f>
        <v>10000</v>
      </c>
    </row>
    <row r="90" spans="2:11" ht="12.75" customHeight="1" x14ac:dyDescent="0.25">
      <c r="B90" s="161"/>
      <c r="C90" s="161"/>
      <c r="D90" s="161"/>
      <c r="E90" s="161"/>
      <c r="F90" s="161"/>
      <c r="G90" s="161"/>
      <c r="H90" s="161"/>
      <c r="I90" s="161"/>
      <c r="J90" s="161"/>
      <c r="K90" s="161"/>
    </row>
    <row r="91" spans="2:11" ht="12.75" customHeight="1" x14ac:dyDescent="0.25">
      <c r="B91" s="134"/>
      <c r="C91" s="134"/>
      <c r="D91" s="134"/>
      <c r="E91" s="134"/>
      <c r="F91" s="134"/>
      <c r="G91" s="134"/>
      <c r="H91" s="134"/>
      <c r="I91" s="134"/>
      <c r="J91" s="134"/>
      <c r="K91" s="134"/>
    </row>
    <row r="92" spans="2:11" ht="12.75" customHeight="1" x14ac:dyDescent="0.25">
      <c r="B92" s="640"/>
      <c r="C92" s="640"/>
      <c r="D92" s="253"/>
      <c r="E92" s="253"/>
      <c r="F92" s="253"/>
      <c r="G92" s="253"/>
      <c r="H92" s="253"/>
      <c r="I92" s="253"/>
      <c r="J92" s="253"/>
      <c r="K92" s="134"/>
    </row>
    <row r="93" spans="2:11" ht="12.75" customHeight="1" x14ac:dyDescent="0.25">
      <c r="B93" s="633" t="s">
        <v>811</v>
      </c>
      <c r="C93" s="633"/>
      <c r="D93" s="634" t="s">
        <v>812</v>
      </c>
      <c r="E93" s="634"/>
      <c r="F93" s="634"/>
      <c r="G93" s="634"/>
      <c r="H93" s="634"/>
      <c r="I93" s="634"/>
      <c r="J93" s="634"/>
      <c r="K93" s="634"/>
    </row>
    <row r="94" spans="2:11" ht="12.75" customHeight="1" x14ac:dyDescent="0.25">
      <c r="B94" s="633" t="s">
        <v>813</v>
      </c>
      <c r="C94" s="633"/>
      <c r="D94" s="634" t="s">
        <v>814</v>
      </c>
      <c r="E94" s="634"/>
      <c r="F94" s="634"/>
      <c r="G94" s="634"/>
      <c r="H94" s="634"/>
      <c r="I94" s="634"/>
      <c r="J94" s="634"/>
      <c r="K94" s="634"/>
    </row>
    <row r="95" spans="2:11" ht="12.75" customHeight="1" x14ac:dyDescent="0.25">
      <c r="B95" s="633" t="s">
        <v>815</v>
      </c>
      <c r="C95" s="633"/>
      <c r="D95" s="634" t="s">
        <v>1661</v>
      </c>
      <c r="E95" s="634"/>
      <c r="F95" s="634"/>
      <c r="G95" s="634"/>
      <c r="H95" s="634"/>
      <c r="I95" s="634"/>
      <c r="J95" s="634"/>
      <c r="K95" s="634"/>
    </row>
    <row r="96" spans="2:11" ht="12.75" customHeight="1" x14ac:dyDescent="0.25">
      <c r="B96" s="633" t="s">
        <v>1662</v>
      </c>
      <c r="C96" s="633"/>
      <c r="D96" s="634" t="s">
        <v>1663</v>
      </c>
      <c r="E96" s="634"/>
      <c r="F96" s="634"/>
      <c r="G96" s="634"/>
      <c r="H96" s="634"/>
      <c r="I96" s="634"/>
      <c r="J96" s="634"/>
      <c r="K96" s="634"/>
    </row>
    <row r="97" spans="2:11" ht="12.75" customHeight="1" x14ac:dyDescent="0.25">
      <c r="B97" s="633" t="s">
        <v>1670</v>
      </c>
      <c r="C97" s="633"/>
      <c r="D97" s="634" t="s">
        <v>1671</v>
      </c>
      <c r="E97" s="634"/>
      <c r="F97" s="634"/>
      <c r="G97" s="634"/>
      <c r="H97" s="634"/>
      <c r="I97" s="634"/>
      <c r="J97" s="634"/>
      <c r="K97" s="634"/>
    </row>
    <row r="98" spans="2:11" ht="26.25" customHeight="1" x14ac:dyDescent="0.25">
      <c r="B98" s="165"/>
      <c r="C98" s="165"/>
      <c r="D98" s="634"/>
      <c r="E98" s="634"/>
      <c r="F98" s="634"/>
      <c r="G98" s="634"/>
      <c r="H98" s="634"/>
      <c r="I98" s="634"/>
      <c r="J98" s="634"/>
      <c r="K98" s="634"/>
    </row>
    <row r="99" spans="2:11" ht="12.75" customHeight="1" x14ac:dyDescent="0.25">
      <c r="B99" s="251"/>
      <c r="C99" s="251"/>
      <c r="D99" s="252"/>
      <c r="E99" s="252"/>
      <c r="F99" s="252"/>
      <c r="G99" s="252"/>
      <c r="H99" s="252"/>
      <c r="I99" s="252"/>
      <c r="J99" s="252"/>
      <c r="K99" s="252"/>
    </row>
    <row r="100" spans="2:11" ht="12.75" customHeight="1" x14ac:dyDescent="0.25">
      <c r="B100" s="166" t="s">
        <v>816</v>
      </c>
      <c r="C100" s="167"/>
      <c r="D100" s="168"/>
      <c r="E100" s="252"/>
      <c r="F100" s="252"/>
      <c r="G100" s="252"/>
      <c r="H100" s="252"/>
      <c r="I100" s="252"/>
      <c r="J100" s="252"/>
      <c r="K100" s="252"/>
    </row>
    <row r="101" spans="2:11" ht="12.75" customHeight="1" x14ac:dyDescent="0.25">
      <c r="B101" s="169" t="s">
        <v>815</v>
      </c>
      <c r="C101" s="167"/>
      <c r="D101" s="168"/>
      <c r="E101" s="252"/>
      <c r="F101" s="252"/>
      <c r="G101" s="252"/>
      <c r="H101" s="252"/>
      <c r="I101" s="252"/>
      <c r="J101" s="252"/>
      <c r="K101" s="252"/>
    </row>
    <row r="102" spans="2:11" ht="12.75" customHeight="1" x14ac:dyDescent="0.25">
      <c r="B102" s="167"/>
      <c r="C102" s="167" t="s">
        <v>817</v>
      </c>
      <c r="D102" s="168" t="s">
        <v>818</v>
      </c>
      <c r="E102" s="252"/>
      <c r="F102" s="252"/>
      <c r="G102" s="252"/>
      <c r="H102" s="252"/>
      <c r="I102" s="252"/>
      <c r="J102" s="252"/>
      <c r="K102" s="252"/>
    </row>
    <row r="103" spans="2:11" ht="12.75" customHeight="1" x14ac:dyDescent="0.25">
      <c r="B103" s="167"/>
      <c r="C103" s="167" t="s">
        <v>819</v>
      </c>
      <c r="D103" s="168" t="s">
        <v>820</v>
      </c>
      <c r="E103" s="252"/>
      <c r="F103" s="252"/>
      <c r="G103" s="252"/>
      <c r="H103" s="252"/>
      <c r="I103" s="252"/>
      <c r="J103" s="252"/>
      <c r="K103" s="252"/>
    </row>
    <row r="104" spans="2:11" ht="12.75" customHeight="1" x14ac:dyDescent="0.25">
      <c r="B104" s="169" t="s">
        <v>1670</v>
      </c>
      <c r="C104" s="167"/>
      <c r="D104" s="168"/>
      <c r="E104" s="252"/>
      <c r="F104" s="252"/>
      <c r="G104" s="252"/>
      <c r="H104" s="252"/>
      <c r="I104" s="252"/>
      <c r="J104" s="252"/>
      <c r="K104" s="252"/>
    </row>
    <row r="105" spans="2:11" ht="12.75" customHeight="1" x14ac:dyDescent="0.25">
      <c r="B105" s="167"/>
      <c r="C105" s="167" t="s">
        <v>821</v>
      </c>
      <c r="D105" s="168" t="s">
        <v>822</v>
      </c>
      <c r="E105" s="252"/>
      <c r="F105" s="252"/>
      <c r="G105" s="252"/>
      <c r="H105" s="252"/>
      <c r="I105" s="252"/>
      <c r="J105" s="252"/>
      <c r="K105" s="252"/>
    </row>
    <row r="106" spans="2:11" ht="12.75" customHeight="1" x14ac:dyDescent="0.25">
      <c r="B106" s="4"/>
      <c r="C106" s="134"/>
      <c r="D106" s="134"/>
      <c r="E106" s="134"/>
      <c r="F106" s="134"/>
      <c r="G106" s="134"/>
      <c r="H106" s="134"/>
      <c r="I106" s="134"/>
      <c r="J106" s="134"/>
      <c r="K106" s="134"/>
    </row>
    <row r="109" spans="2:11" ht="20.100000000000001" customHeight="1" x14ac:dyDescent="0.25">
      <c r="B109" s="4" t="s">
        <v>780</v>
      </c>
    </row>
    <row r="111" spans="2:11" ht="12.75" customHeight="1" x14ac:dyDescent="0.25">
      <c r="B111" s="635" t="s">
        <v>1348</v>
      </c>
      <c r="C111" s="635"/>
      <c r="D111" s="635"/>
      <c r="E111" s="635"/>
      <c r="F111" s="635"/>
      <c r="G111" s="635"/>
      <c r="H111" s="635"/>
      <c r="I111" s="635"/>
      <c r="J111" s="635"/>
      <c r="K111" s="635"/>
    </row>
    <row r="112" spans="2:11" ht="12.75" customHeight="1" x14ac:dyDescent="0.25">
      <c r="B112" s="635" t="s">
        <v>1349</v>
      </c>
      <c r="C112" s="635"/>
      <c r="D112" s="635"/>
      <c r="E112" s="635"/>
      <c r="F112" s="635"/>
      <c r="G112" s="635"/>
      <c r="H112" s="635"/>
      <c r="I112" s="635"/>
      <c r="J112" s="635"/>
      <c r="K112" s="635"/>
    </row>
    <row r="113" spans="2:11" ht="12.75" customHeight="1" x14ac:dyDescent="0.25">
      <c r="B113" s="634" t="s">
        <v>1656</v>
      </c>
      <c r="C113" s="634"/>
      <c r="D113" s="634"/>
      <c r="E113" s="634"/>
      <c r="F113" s="634"/>
      <c r="G113" s="634"/>
      <c r="H113" s="634"/>
      <c r="I113" s="634"/>
      <c r="J113" s="634"/>
      <c r="K113" s="634"/>
    </row>
    <row r="114" spans="2:11" ht="12.75" customHeight="1" x14ac:dyDescent="0.25">
      <c r="B114" s="135"/>
      <c r="C114" s="135"/>
      <c r="D114" s="135"/>
      <c r="E114" s="135"/>
      <c r="F114" s="135"/>
      <c r="G114" s="135"/>
      <c r="H114" s="135"/>
      <c r="I114" s="135"/>
      <c r="J114" s="135"/>
      <c r="K114" s="135"/>
    </row>
    <row r="115" spans="2:11" ht="12.75" customHeight="1" x14ac:dyDescent="0.25">
      <c r="B115" s="134" t="s">
        <v>781</v>
      </c>
      <c r="C115" s="134"/>
      <c r="D115" s="134"/>
      <c r="E115" s="134"/>
      <c r="F115" s="134"/>
      <c r="G115" s="134"/>
      <c r="H115" s="134"/>
      <c r="I115" s="134"/>
      <c r="J115" s="134"/>
      <c r="K115" s="134"/>
    </row>
    <row r="116" spans="2:11" ht="12.75" customHeight="1" x14ac:dyDescent="0.25">
      <c r="B116" s="242"/>
      <c r="C116" s="242"/>
      <c r="D116" s="242"/>
      <c r="E116" s="242"/>
      <c r="F116" s="242"/>
      <c r="G116" s="242"/>
      <c r="H116" s="242"/>
      <c r="I116" s="242"/>
      <c r="J116" s="242"/>
      <c r="K116" s="243"/>
    </row>
    <row r="117" spans="2:11" ht="12.75" customHeight="1" x14ac:dyDescent="0.25">
      <c r="B117" s="138"/>
      <c r="C117" s="138"/>
      <c r="D117" s="138"/>
      <c r="E117" s="138"/>
      <c r="F117" s="138"/>
      <c r="G117" s="138"/>
      <c r="H117" s="138"/>
      <c r="I117" s="138"/>
      <c r="J117" s="138"/>
      <c r="K117" s="139"/>
    </row>
    <row r="118" spans="2:11" ht="12.75" customHeight="1" x14ac:dyDescent="0.25">
      <c r="B118" s="636" t="s">
        <v>782</v>
      </c>
      <c r="C118" s="636"/>
      <c r="D118" s="636"/>
      <c r="E118" s="636"/>
      <c r="F118" s="636"/>
      <c r="G118" s="636"/>
      <c r="H118" s="636"/>
      <c r="I118" s="636"/>
      <c r="J118" s="636"/>
      <c r="K118" s="636"/>
    </row>
    <row r="119" spans="2:11" ht="12.75" customHeight="1" x14ac:dyDescent="0.25">
      <c r="B119" s="140" t="s">
        <v>783</v>
      </c>
      <c r="C119" s="140"/>
      <c r="D119" s="140"/>
      <c r="E119" s="140"/>
      <c r="F119" s="140"/>
      <c r="G119" s="140"/>
      <c r="H119" s="140"/>
      <c r="I119" s="140"/>
      <c r="J119" s="140"/>
      <c r="K119" s="140"/>
    </row>
    <row r="120" spans="2:11" ht="12.75" customHeight="1" x14ac:dyDescent="0.25">
      <c r="B120" s="140"/>
      <c r="C120" s="140"/>
      <c r="D120" s="140"/>
      <c r="E120" s="140"/>
      <c r="F120" s="140"/>
      <c r="G120" s="140"/>
      <c r="H120" s="140"/>
      <c r="I120" s="140"/>
      <c r="J120" s="140"/>
      <c r="K120" s="140"/>
    </row>
    <row r="121" spans="2:11" ht="12.75" customHeight="1" x14ac:dyDescent="0.25">
      <c r="B121" s="156" t="s">
        <v>832</v>
      </c>
      <c r="C121" s="143"/>
      <c r="D121" s="140"/>
      <c r="E121" s="141" t="s">
        <v>616</v>
      </c>
      <c r="F121" s="141" t="s">
        <v>617</v>
      </c>
      <c r="G121" s="141" t="s">
        <v>620</v>
      </c>
      <c r="H121" s="141" t="s">
        <v>621</v>
      </c>
      <c r="I121" s="142"/>
      <c r="J121" s="142"/>
      <c r="K121" s="142"/>
    </row>
    <row r="122" spans="2:11" ht="12.75" customHeight="1" x14ac:dyDescent="0.25">
      <c r="B122" s="143">
        <v>136</v>
      </c>
      <c r="C122" s="145">
        <v>1</v>
      </c>
      <c r="D122" s="254" t="s">
        <v>417</v>
      </c>
      <c r="E122" s="149">
        <v>50000</v>
      </c>
      <c r="F122" s="150">
        <v>170</v>
      </c>
      <c r="G122" s="149">
        <v>40000</v>
      </c>
      <c r="H122" s="151">
        <f>E122-G122</f>
        <v>10000</v>
      </c>
      <c r="I122" s="144"/>
      <c r="J122" s="144"/>
      <c r="K122" s="144"/>
    </row>
    <row r="123" spans="2:11" ht="12.75" customHeight="1" x14ac:dyDescent="0.25">
      <c r="B123" s="143"/>
      <c r="C123" s="143"/>
      <c r="D123" s="153"/>
      <c r="E123" s="154"/>
      <c r="F123" s="154"/>
      <c r="G123" s="154"/>
      <c r="H123" s="154"/>
      <c r="I123" s="154"/>
      <c r="J123" s="154"/>
      <c r="K123" s="154"/>
    </row>
    <row r="124" spans="2:11" ht="12.75" customHeight="1" x14ac:dyDescent="0.25">
      <c r="B124" s="153"/>
      <c r="C124" s="143"/>
      <c r="D124" s="140"/>
      <c r="E124" s="155"/>
      <c r="F124" s="155"/>
      <c r="G124" s="155"/>
      <c r="H124" s="155"/>
      <c r="I124" s="155"/>
      <c r="J124" s="155"/>
      <c r="K124" s="155"/>
    </row>
    <row r="125" spans="2:11" ht="12.75" customHeight="1" x14ac:dyDescent="0.25">
      <c r="B125" s="156" t="s">
        <v>6</v>
      </c>
      <c r="C125" s="143"/>
      <c r="D125" s="140"/>
      <c r="E125" s="154"/>
      <c r="F125" s="154"/>
      <c r="G125" s="154"/>
      <c r="H125" s="154"/>
      <c r="I125" s="154"/>
      <c r="J125" s="154"/>
      <c r="K125" s="154"/>
    </row>
    <row r="126" spans="2:11" ht="12.75" customHeight="1" x14ac:dyDescent="0.25">
      <c r="B126" s="157"/>
      <c r="C126" s="637" t="s">
        <v>833</v>
      </c>
      <c r="D126" s="638"/>
      <c r="E126" s="158">
        <f>SUM(E127:E128)</f>
        <v>1500000000</v>
      </c>
      <c r="F126" s="158"/>
      <c r="G126" s="158"/>
      <c r="H126" s="158">
        <f>SUM(H127:H128)</f>
        <v>1499960000</v>
      </c>
      <c r="I126" s="159"/>
      <c r="J126" s="159"/>
      <c r="K126" s="159"/>
    </row>
    <row r="127" spans="2:11" ht="14.25" customHeight="1" x14ac:dyDescent="0.25">
      <c r="B127" s="143">
        <v>170</v>
      </c>
      <c r="C127" s="145">
        <v>-1</v>
      </c>
      <c r="D127" s="148" t="s">
        <v>834</v>
      </c>
      <c r="E127" s="149">
        <v>1500000000</v>
      </c>
      <c r="F127" s="150">
        <v>136</v>
      </c>
      <c r="G127" s="149"/>
      <c r="H127" s="151">
        <f>E127-G122</f>
        <v>1499960000</v>
      </c>
      <c r="I127" s="146"/>
      <c r="J127" s="147"/>
      <c r="K127" s="146"/>
    </row>
    <row r="128" spans="2:11" ht="14.25" customHeight="1" x14ac:dyDescent="0.25">
      <c r="B128" s="143">
        <v>176</v>
      </c>
      <c r="C128" s="145">
        <v>-1</v>
      </c>
      <c r="D128" s="160" t="s">
        <v>835</v>
      </c>
      <c r="E128" s="149"/>
      <c r="F128" s="152"/>
      <c r="G128" s="149"/>
      <c r="H128" s="151">
        <v>0</v>
      </c>
      <c r="I128" s="146"/>
      <c r="J128" s="147"/>
      <c r="K128" s="146"/>
    </row>
    <row r="129" spans="2:11" ht="12.75" customHeight="1" x14ac:dyDescent="0.25">
      <c r="B129" s="161"/>
      <c r="C129" s="161"/>
      <c r="D129" s="161"/>
      <c r="E129" s="161"/>
      <c r="F129" s="161"/>
      <c r="G129" s="161"/>
      <c r="H129" s="161"/>
      <c r="I129" s="161"/>
      <c r="J129" s="161"/>
      <c r="K129" s="161"/>
    </row>
    <row r="130" spans="2:11" ht="12.75" customHeight="1" x14ac:dyDescent="0.25">
      <c r="B130" s="242"/>
      <c r="C130" s="242"/>
      <c r="D130" s="242"/>
      <c r="E130" s="242"/>
      <c r="F130" s="242"/>
      <c r="G130" s="242"/>
      <c r="H130" s="242"/>
      <c r="I130" s="242"/>
      <c r="J130" s="242"/>
      <c r="K130" s="243"/>
    </row>
    <row r="131" spans="2:11" ht="12.75" customHeight="1" x14ac:dyDescent="0.25">
      <c r="B131" s="138"/>
      <c r="C131" s="138"/>
      <c r="D131" s="138"/>
      <c r="E131" s="138"/>
      <c r="F131" s="138"/>
      <c r="G131" s="138"/>
      <c r="H131" s="138"/>
      <c r="I131" s="138"/>
      <c r="J131" s="138"/>
      <c r="K131" s="139"/>
    </row>
    <row r="132" spans="2:11" ht="12.75" customHeight="1" x14ac:dyDescent="0.25">
      <c r="B132" s="636" t="s">
        <v>784</v>
      </c>
      <c r="C132" s="636"/>
      <c r="D132" s="636"/>
      <c r="E132" s="636"/>
      <c r="F132" s="636"/>
      <c r="G132" s="636"/>
      <c r="H132" s="636"/>
      <c r="I132" s="636"/>
      <c r="J132" s="636"/>
      <c r="K132" s="636"/>
    </row>
    <row r="133" spans="2:11" ht="12.75" customHeight="1" x14ac:dyDescent="0.25">
      <c r="B133" s="140" t="s">
        <v>836</v>
      </c>
      <c r="C133" s="140"/>
      <c r="D133" s="140"/>
      <c r="E133" s="140"/>
      <c r="F133" s="140"/>
      <c r="G133" s="140"/>
      <c r="H133" s="140"/>
      <c r="I133" s="140"/>
      <c r="J133" s="140"/>
      <c r="K133" s="140"/>
    </row>
    <row r="134" spans="2:11" ht="12.75" customHeight="1" x14ac:dyDescent="0.25">
      <c r="B134" s="140"/>
      <c r="C134" s="140"/>
      <c r="D134" s="140"/>
      <c r="E134" s="140"/>
      <c r="F134" s="140"/>
      <c r="G134" s="140"/>
      <c r="H134" s="140"/>
      <c r="I134" s="140"/>
      <c r="J134" s="140"/>
      <c r="K134" s="140"/>
    </row>
    <row r="135" spans="2:11" ht="12.75" customHeight="1" x14ac:dyDescent="0.25">
      <c r="B135" s="140"/>
      <c r="C135" s="140"/>
      <c r="D135" s="140"/>
      <c r="E135" s="141" t="s">
        <v>616</v>
      </c>
      <c r="F135" s="141" t="s">
        <v>617</v>
      </c>
      <c r="G135" s="141" t="s">
        <v>620</v>
      </c>
      <c r="H135" s="141" t="s">
        <v>621</v>
      </c>
      <c r="I135" s="141" t="s">
        <v>622</v>
      </c>
      <c r="J135" s="141" t="s">
        <v>1657</v>
      </c>
      <c r="K135" s="141" t="s">
        <v>1667</v>
      </c>
    </row>
    <row r="136" spans="2:11" ht="12.75" customHeight="1" x14ac:dyDescent="0.25">
      <c r="B136" s="143"/>
      <c r="C136" s="639" t="s">
        <v>785</v>
      </c>
      <c r="D136" s="638"/>
      <c r="E136" s="162">
        <f>SUM(E137:E141)</f>
        <v>100000</v>
      </c>
      <c r="F136" s="162"/>
      <c r="G136" s="162"/>
      <c r="H136" s="162">
        <f>SUM(H137:H141)</f>
        <v>100000</v>
      </c>
      <c r="I136" s="162"/>
      <c r="J136" s="162">
        <f>SUM(J137:J141)</f>
        <v>0</v>
      </c>
      <c r="K136" s="162">
        <f>SUM(K137:K141)</f>
        <v>100000</v>
      </c>
    </row>
    <row r="137" spans="2:11" ht="12.75" customHeight="1" x14ac:dyDescent="0.25">
      <c r="B137" s="143">
        <v>58</v>
      </c>
      <c r="C137" s="145">
        <v>1</v>
      </c>
      <c r="D137" s="148" t="s">
        <v>261</v>
      </c>
      <c r="E137" s="149">
        <v>100000</v>
      </c>
      <c r="F137" s="152"/>
      <c r="G137" s="149"/>
      <c r="H137" s="151">
        <v>100000</v>
      </c>
      <c r="I137" s="151"/>
      <c r="J137" s="163">
        <v>-65000</v>
      </c>
      <c r="K137" s="164">
        <f>$H137+$J137</f>
        <v>35000</v>
      </c>
    </row>
    <row r="138" spans="2:11" ht="12.75" customHeight="1" x14ac:dyDescent="0.25">
      <c r="B138" s="143">
        <v>59</v>
      </c>
      <c r="C138" s="145">
        <v>1</v>
      </c>
      <c r="D138" s="148" t="s">
        <v>264</v>
      </c>
      <c r="E138" s="149"/>
      <c r="F138" s="152"/>
      <c r="G138" s="149"/>
      <c r="H138" s="151">
        <v>0</v>
      </c>
      <c r="I138" s="151"/>
      <c r="J138" s="163">
        <v>20000</v>
      </c>
      <c r="K138" s="164">
        <f>$H138+$J138</f>
        <v>20000</v>
      </c>
    </row>
    <row r="139" spans="2:11" ht="12.75" customHeight="1" x14ac:dyDescent="0.25">
      <c r="B139" s="143">
        <v>60</v>
      </c>
      <c r="C139" s="145">
        <v>1</v>
      </c>
      <c r="D139" s="148" t="s">
        <v>267</v>
      </c>
      <c r="E139" s="149"/>
      <c r="F139" s="152"/>
      <c r="G139" s="149"/>
      <c r="H139" s="151">
        <v>0</v>
      </c>
      <c r="I139" s="151"/>
      <c r="J139" s="163">
        <v>30000</v>
      </c>
      <c r="K139" s="164">
        <f>$H139+$J139</f>
        <v>30000</v>
      </c>
    </row>
    <row r="140" spans="2:11" ht="12.75" customHeight="1" x14ac:dyDescent="0.25">
      <c r="B140" s="143">
        <v>61</v>
      </c>
      <c r="C140" s="145">
        <v>1</v>
      </c>
      <c r="D140" s="148" t="s">
        <v>270</v>
      </c>
      <c r="E140" s="149"/>
      <c r="F140" s="152"/>
      <c r="G140" s="149"/>
      <c r="H140" s="151">
        <v>0</v>
      </c>
      <c r="I140" s="151"/>
      <c r="J140" s="163">
        <v>5000</v>
      </c>
      <c r="K140" s="164">
        <f>$H140+$J140</f>
        <v>5000</v>
      </c>
    </row>
    <row r="141" spans="2:11" ht="12.75" customHeight="1" x14ac:dyDescent="0.25">
      <c r="B141" s="143">
        <v>62</v>
      </c>
      <c r="C141" s="145">
        <v>1</v>
      </c>
      <c r="D141" s="148" t="s">
        <v>273</v>
      </c>
      <c r="E141" s="149"/>
      <c r="F141" s="152"/>
      <c r="G141" s="149"/>
      <c r="H141" s="151">
        <v>0</v>
      </c>
      <c r="I141" s="151"/>
      <c r="J141" s="163">
        <v>10000</v>
      </c>
      <c r="K141" s="164">
        <f>$H141+$J141</f>
        <v>10000</v>
      </c>
    </row>
    <row r="142" spans="2:11" ht="12.75" customHeight="1" x14ac:dyDescent="0.25">
      <c r="B142" s="161"/>
      <c r="C142" s="161"/>
      <c r="D142" s="161"/>
      <c r="E142" s="161"/>
      <c r="F142" s="161"/>
      <c r="G142" s="161"/>
      <c r="H142" s="161"/>
      <c r="I142" s="161"/>
      <c r="J142" s="161"/>
      <c r="K142" s="161"/>
    </row>
    <row r="143" spans="2:11" ht="12.75" customHeight="1" x14ac:dyDescent="0.25">
      <c r="B143" s="134"/>
      <c r="C143" s="134"/>
      <c r="D143" s="134"/>
      <c r="E143" s="134"/>
      <c r="F143" s="134"/>
      <c r="G143" s="134"/>
      <c r="H143" s="134"/>
      <c r="I143" s="134"/>
      <c r="J143" s="134"/>
      <c r="K143" s="134"/>
    </row>
    <row r="144" spans="2:11" ht="12.75" customHeight="1" x14ac:dyDescent="0.25">
      <c r="B144" s="640"/>
      <c r="C144" s="640"/>
      <c r="D144" s="244"/>
      <c r="E144" s="244"/>
      <c r="F144" s="244"/>
      <c r="G144" s="244"/>
      <c r="H144" s="244"/>
      <c r="I144" s="244"/>
      <c r="J144" s="244"/>
      <c r="K144" s="134"/>
    </row>
    <row r="145" spans="2:11" ht="12.75" customHeight="1" x14ac:dyDescent="0.25">
      <c r="B145" s="633" t="s">
        <v>786</v>
      </c>
      <c r="C145" s="633"/>
      <c r="D145" s="634" t="s">
        <v>787</v>
      </c>
      <c r="E145" s="634"/>
      <c r="F145" s="634"/>
      <c r="G145" s="634"/>
      <c r="H145" s="634"/>
      <c r="I145" s="634"/>
      <c r="J145" s="634"/>
      <c r="K145" s="634"/>
    </row>
    <row r="146" spans="2:11" ht="12.75" customHeight="1" x14ac:dyDescent="0.25">
      <c r="B146" s="633" t="s">
        <v>788</v>
      </c>
      <c r="C146" s="633"/>
      <c r="D146" s="634" t="s">
        <v>789</v>
      </c>
      <c r="E146" s="634"/>
      <c r="F146" s="634"/>
      <c r="G146" s="634"/>
      <c r="H146" s="634"/>
      <c r="I146" s="634"/>
      <c r="J146" s="634"/>
      <c r="K146" s="634"/>
    </row>
    <row r="147" spans="2:11" ht="12.75" customHeight="1" x14ac:dyDescent="0.25">
      <c r="B147" s="633" t="s">
        <v>790</v>
      </c>
      <c r="C147" s="633"/>
      <c r="D147" s="634" t="s">
        <v>1664</v>
      </c>
      <c r="E147" s="634"/>
      <c r="F147" s="634"/>
      <c r="G147" s="634"/>
      <c r="H147" s="634"/>
      <c r="I147" s="634"/>
      <c r="J147" s="634"/>
      <c r="K147" s="634"/>
    </row>
    <row r="148" spans="2:11" ht="12.75" customHeight="1" x14ac:dyDescent="0.25">
      <c r="B148" s="633" t="s">
        <v>1665</v>
      </c>
      <c r="C148" s="633"/>
      <c r="D148" s="634" t="s">
        <v>1666</v>
      </c>
      <c r="E148" s="634"/>
      <c r="F148" s="634"/>
      <c r="G148" s="634"/>
      <c r="H148" s="634"/>
      <c r="I148" s="634"/>
      <c r="J148" s="634"/>
      <c r="K148" s="634"/>
    </row>
    <row r="149" spans="2:11" ht="12.75" customHeight="1" x14ac:dyDescent="0.25">
      <c r="B149" s="633" t="s">
        <v>1672</v>
      </c>
      <c r="C149" s="633"/>
      <c r="D149" s="634" t="s">
        <v>1673</v>
      </c>
      <c r="E149" s="634"/>
      <c r="F149" s="634"/>
      <c r="G149" s="634"/>
      <c r="H149" s="634"/>
      <c r="I149" s="634"/>
      <c r="J149" s="634"/>
      <c r="K149" s="634"/>
    </row>
    <row r="150" spans="2:11" ht="12.75" customHeight="1" x14ac:dyDescent="0.25">
      <c r="B150" s="165"/>
      <c r="C150" s="165"/>
      <c r="D150" s="634"/>
      <c r="E150" s="634"/>
      <c r="F150" s="634"/>
      <c r="G150" s="634"/>
      <c r="H150" s="634"/>
      <c r="I150" s="634"/>
      <c r="J150" s="634"/>
      <c r="K150" s="634"/>
    </row>
    <row r="151" spans="2:11" ht="12.75" customHeight="1" x14ac:dyDescent="0.25">
      <c r="B151" s="242"/>
      <c r="C151" s="242"/>
      <c r="D151" s="243"/>
      <c r="E151" s="243"/>
      <c r="F151" s="243"/>
      <c r="G151" s="243"/>
      <c r="H151" s="243"/>
      <c r="I151" s="243"/>
      <c r="J151" s="243"/>
      <c r="K151" s="243"/>
    </row>
    <row r="152" spans="2:11" ht="12.75" customHeight="1" x14ac:dyDescent="0.25">
      <c r="B152" s="166" t="s">
        <v>791</v>
      </c>
      <c r="C152" s="167"/>
      <c r="D152" s="168"/>
      <c r="E152" s="243"/>
      <c r="F152" s="243"/>
      <c r="G152" s="243"/>
      <c r="H152" s="243"/>
      <c r="I152" s="243"/>
      <c r="J152" s="243"/>
      <c r="K152" s="243"/>
    </row>
    <row r="153" spans="2:11" ht="12.75" customHeight="1" x14ac:dyDescent="0.25">
      <c r="B153" s="169" t="s">
        <v>790</v>
      </c>
      <c r="C153" s="167"/>
      <c r="D153" s="168"/>
      <c r="E153" s="243"/>
      <c r="F153" s="243"/>
      <c r="G153" s="243"/>
      <c r="H153" s="243"/>
      <c r="I153" s="243"/>
      <c r="J153" s="243"/>
      <c r="K153" s="243"/>
    </row>
    <row r="154" spans="2:11" ht="12.75" customHeight="1" x14ac:dyDescent="0.25">
      <c r="B154" s="167"/>
      <c r="C154" s="167" t="s">
        <v>792</v>
      </c>
      <c r="D154" s="168" t="s">
        <v>793</v>
      </c>
      <c r="E154" s="243"/>
      <c r="F154" s="243"/>
      <c r="G154" s="243"/>
      <c r="H154" s="243"/>
      <c r="I154" s="243"/>
      <c r="J154" s="243"/>
      <c r="K154" s="243"/>
    </row>
    <row r="155" spans="2:11" ht="12.75" customHeight="1" x14ac:dyDescent="0.25">
      <c r="B155" s="167"/>
      <c r="C155" s="167" t="s">
        <v>794</v>
      </c>
      <c r="D155" s="168" t="s">
        <v>795</v>
      </c>
      <c r="E155" s="243"/>
      <c r="F155" s="243"/>
      <c r="G155" s="243"/>
      <c r="H155" s="243"/>
      <c r="I155" s="243"/>
      <c r="J155" s="243"/>
      <c r="K155" s="243"/>
    </row>
    <row r="156" spans="2:11" ht="12.75" customHeight="1" x14ac:dyDescent="0.25">
      <c r="B156" s="169" t="s">
        <v>1672</v>
      </c>
      <c r="C156" s="167"/>
      <c r="D156" s="168"/>
      <c r="E156" s="243"/>
      <c r="F156" s="243"/>
      <c r="G156" s="243"/>
      <c r="H156" s="243"/>
      <c r="I156" s="243"/>
      <c r="J156" s="243"/>
      <c r="K156" s="243"/>
    </row>
    <row r="157" spans="2:11" ht="12.75" customHeight="1" x14ac:dyDescent="0.25">
      <c r="B157" s="167"/>
      <c r="C157" s="167" t="s">
        <v>796</v>
      </c>
      <c r="D157" s="168" t="s">
        <v>797</v>
      </c>
      <c r="E157" s="243"/>
      <c r="F157" s="243"/>
      <c r="G157" s="243"/>
      <c r="H157" s="243"/>
      <c r="I157" s="243"/>
      <c r="J157" s="243"/>
      <c r="K157" s="243"/>
    </row>
  </sheetData>
  <mergeCells count="54">
    <mergeCell ref="B59:K59"/>
    <mergeCell ref="B66:K66"/>
    <mergeCell ref="C74:D74"/>
    <mergeCell ref="B80:K80"/>
    <mergeCell ref="B147:C147"/>
    <mergeCell ref="D147:K147"/>
    <mergeCell ref="B118:K118"/>
    <mergeCell ref="C126:D126"/>
    <mergeCell ref="B132:K132"/>
    <mergeCell ref="C136:D136"/>
    <mergeCell ref="B111:K111"/>
    <mergeCell ref="B112:K112"/>
    <mergeCell ref="B113:K113"/>
    <mergeCell ref="C84:D84"/>
    <mergeCell ref="B92:C92"/>
    <mergeCell ref="D93:K93"/>
    <mergeCell ref="B148:C148"/>
    <mergeCell ref="D148:K148"/>
    <mergeCell ref="B149:C149"/>
    <mergeCell ref="D149:K150"/>
    <mergeCell ref="B144:C144"/>
    <mergeCell ref="B145:C145"/>
    <mergeCell ref="D145:K145"/>
    <mergeCell ref="B146:C146"/>
    <mergeCell ref="D146:K146"/>
    <mergeCell ref="D97:K98"/>
    <mergeCell ref="B95:C95"/>
    <mergeCell ref="D95:K95"/>
    <mergeCell ref="B96:C96"/>
    <mergeCell ref="D96:K96"/>
    <mergeCell ref="B97:C97"/>
    <mergeCell ref="B93:C93"/>
    <mergeCell ref="B94:C94"/>
    <mergeCell ref="D94:K94"/>
    <mergeCell ref="B60:K60"/>
    <mergeCell ref="B61:K61"/>
    <mergeCell ref="B43:C43"/>
    <mergeCell ref="D43:K43"/>
    <mergeCell ref="B44:C44"/>
    <mergeCell ref="D44:K44"/>
    <mergeCell ref="B45:C45"/>
    <mergeCell ref="D45:K46"/>
    <mergeCell ref="B42:C42"/>
    <mergeCell ref="D42:K42"/>
    <mergeCell ref="B6:K6"/>
    <mergeCell ref="B7:K7"/>
    <mergeCell ref="B8:K8"/>
    <mergeCell ref="B13:K13"/>
    <mergeCell ref="C21:D21"/>
    <mergeCell ref="B28:K28"/>
    <mergeCell ref="C32:D32"/>
    <mergeCell ref="B40:C40"/>
    <mergeCell ref="B41:C41"/>
    <mergeCell ref="D41:K41"/>
  </mergeCells>
  <conditionalFormatting sqref="J33:J37">
    <cfRule type="cellIs" dxfId="5" priority="28" stopIfTrue="1" operator="notEqual">
      <formula>0</formula>
    </cfRule>
  </conditionalFormatting>
  <conditionalFormatting sqref="F33:F37 F22:F23 F137:F141 F85:F89 F17 F70 F75:F76 F122 F127:F128">
    <cfRule type="expression" dxfId="4" priority="29" stopIfTrue="1">
      <formula>IF(ISBLANK(F17),0,IF(ISNA(MATCH($F17,$B:$B,0)),1,0))</formula>
    </cfRule>
    <cfRule type="expression" dxfId="3" priority="30" stopIfTrue="1">
      <formula>IF(ISBLANK(F17),0,1)</formula>
    </cfRule>
    <cfRule type="expression" dxfId="2" priority="31" stopIfTrue="1">
      <formula>IF(ISERROR(MATCH($B17,$F:$F,0)),0,1)</formula>
    </cfRule>
  </conditionalFormatting>
  <conditionalFormatting sqref="J137:J141">
    <cfRule type="cellIs" dxfId="1" priority="20" stopIfTrue="1" operator="notEqual">
      <formula>0</formula>
    </cfRule>
  </conditionalFormatting>
  <conditionalFormatting sqref="J85:J89">
    <cfRule type="cellIs" dxfId="0" priority="16" stopIfTrue="1" operator="notEqual">
      <formula>0</formula>
    </cfRule>
  </conditionalFormatting>
  <hyperlinks>
    <hyperlink ref="B3" location="'Stat_SSTBalance Info'!B57" display="Version française" xr:uid="{00000000-0004-0000-1D00-000000000000}"/>
    <hyperlink ref="B4" location="'Stat_SSTBalance Info'!B109" display="English version" xr:uid="{00000000-0004-0000-1D00-000001000000}"/>
  </hyperlinks>
  <pageMargins left="0.47244094488188981" right="0.39370078740157483" top="0.59055118110236227" bottom="0" header="0.51181102362204722" footer="0.51181102362204722"/>
  <pageSetup paperSize="9" scale="72" orientation="landscape" horizontalDpi="1200" verticalDpi="1200" r:id="rId1"/>
  <headerFooter alignWithMargins="0">
    <oddHeader>&amp;R&amp;"Arial,Fett"&amp;12SST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tabColor rgb="FF002D64"/>
    <pageSetUpPr fitToPage="1"/>
  </sheetPr>
  <dimension ref="A1:G408"/>
  <sheetViews>
    <sheetView showGridLines="0" zoomScale="103" zoomScaleNormal="103" workbookViewId="0">
      <selection activeCell="A2" sqref="A2"/>
    </sheetView>
  </sheetViews>
  <sheetFormatPr baseColWidth="10" defaultColWidth="8.5703125" defaultRowHeight="12.75" customHeight="1" x14ac:dyDescent="0.25"/>
  <cols>
    <col min="1" max="1" width="5.5703125" style="210" customWidth="1"/>
    <col min="2" max="2" width="10.5703125" style="210" customWidth="1"/>
    <col min="3" max="3" width="55.7109375" style="210" customWidth="1"/>
    <col min="4" max="4" width="52.7109375" style="210" customWidth="1"/>
    <col min="5" max="5" width="60.42578125" style="210" customWidth="1"/>
    <col min="6" max="7" width="8.5703125" style="211"/>
    <col min="8" max="16384" width="8.5703125" style="210"/>
  </cols>
  <sheetData>
    <row r="1" spans="1:7" ht="20.100000000000001" customHeight="1" x14ac:dyDescent="0.25">
      <c r="A1" s="258">
        <v>7</v>
      </c>
      <c r="B1" s="259" t="s">
        <v>1326</v>
      </c>
    </row>
    <row r="2" spans="1:7" s="213" customFormat="1" ht="14.25" customHeight="1" x14ac:dyDescent="0.25">
      <c r="A2" s="212"/>
      <c r="B2" s="212"/>
      <c r="C2" s="212"/>
      <c r="D2" s="212"/>
      <c r="E2" s="212"/>
      <c r="F2" s="212"/>
      <c r="G2" s="212"/>
    </row>
    <row r="3" spans="1:7" s="213" customFormat="1" ht="14.25" customHeight="1" x14ac:dyDescent="0.25">
      <c r="A3" s="212"/>
      <c r="B3" s="212"/>
      <c r="C3" s="212"/>
      <c r="D3" s="212"/>
      <c r="E3" s="212"/>
      <c r="F3" s="212"/>
      <c r="G3" s="212"/>
    </row>
    <row r="4" spans="1:7" s="213" customFormat="1" ht="14.25" customHeight="1" x14ac:dyDescent="0.25">
      <c r="A4" s="212"/>
      <c r="B4" s="212"/>
      <c r="C4" s="214" t="s">
        <v>21</v>
      </c>
      <c r="D4" s="214" t="s">
        <v>22</v>
      </c>
      <c r="E4" s="214" t="s">
        <v>20</v>
      </c>
      <c r="F4" s="212"/>
      <c r="G4" s="212"/>
    </row>
    <row r="5" spans="1:7" s="213" customFormat="1" ht="14.25" customHeight="1" x14ac:dyDescent="0.25">
      <c r="A5" s="212"/>
      <c r="B5" s="212"/>
      <c r="C5" s="215">
        <v>1</v>
      </c>
      <c r="D5" s="215">
        <v>2</v>
      </c>
      <c r="E5" s="215">
        <v>3</v>
      </c>
      <c r="F5" s="212"/>
      <c r="G5" s="212"/>
    </row>
    <row r="6" spans="1:7" s="213" customFormat="1" ht="14.25" customHeight="1" x14ac:dyDescent="0.25">
      <c r="A6" s="212"/>
      <c r="B6" s="212"/>
      <c r="C6" s="212"/>
      <c r="D6" s="212"/>
      <c r="E6" s="212"/>
      <c r="F6" s="212"/>
      <c r="G6" s="212"/>
    </row>
    <row r="7" spans="1:7" s="213" customFormat="1" ht="14.25" customHeight="1" x14ac:dyDescent="0.25">
      <c r="A7" s="216"/>
      <c r="B7" s="217" t="s">
        <v>82</v>
      </c>
      <c r="C7" s="218" t="s">
        <v>1572</v>
      </c>
      <c r="D7" s="217" t="s">
        <v>118</v>
      </c>
      <c r="E7" s="217" t="s">
        <v>1573</v>
      </c>
      <c r="F7" s="212"/>
      <c r="G7" s="212"/>
    </row>
    <row r="8" spans="1:7" s="213" customFormat="1" ht="14.25" customHeight="1" x14ac:dyDescent="0.25">
      <c r="A8" s="212"/>
      <c r="B8" s="212"/>
      <c r="C8" s="212"/>
      <c r="D8" s="212"/>
      <c r="E8" s="212"/>
      <c r="F8" s="212"/>
      <c r="G8" s="212"/>
    </row>
    <row r="9" spans="1:7" s="213" customFormat="1" ht="14.25" customHeight="1" x14ac:dyDescent="0.25">
      <c r="A9" s="212"/>
      <c r="B9" s="208" t="s">
        <v>90</v>
      </c>
      <c r="C9" s="208" t="s">
        <v>32</v>
      </c>
      <c r="D9" s="208" t="s">
        <v>44</v>
      </c>
      <c r="E9" s="208" t="s">
        <v>45</v>
      </c>
      <c r="F9" s="212"/>
      <c r="G9" s="212"/>
    </row>
    <row r="10" spans="1:7" s="213" customFormat="1" ht="14.25" customHeight="1" x14ac:dyDescent="0.25">
      <c r="A10" s="212"/>
      <c r="B10" s="219" t="s">
        <v>83</v>
      </c>
      <c r="C10" s="219" t="s">
        <v>645</v>
      </c>
      <c r="D10" s="219" t="s">
        <v>646</v>
      </c>
      <c r="E10" s="442" t="s">
        <v>1525</v>
      </c>
      <c r="F10" s="212"/>
      <c r="G10" s="212"/>
    </row>
    <row r="11" spans="1:7" s="213" customFormat="1" ht="14.25" customHeight="1" x14ac:dyDescent="0.25">
      <c r="A11" s="212"/>
      <c r="B11" s="219"/>
      <c r="C11" s="219"/>
      <c r="D11" s="219"/>
      <c r="E11" s="219"/>
      <c r="F11" s="212"/>
      <c r="G11" s="212"/>
    </row>
    <row r="12" spans="1:7" s="213" customFormat="1" ht="14.25" customHeight="1" x14ac:dyDescent="0.25">
      <c r="A12" s="212"/>
      <c r="B12" s="219" t="s">
        <v>84</v>
      </c>
      <c r="C12" s="208" t="s">
        <v>23</v>
      </c>
      <c r="D12" s="208" t="s">
        <v>39</v>
      </c>
      <c r="E12" s="208" t="s">
        <v>36</v>
      </c>
      <c r="F12" s="212"/>
      <c r="G12" s="212"/>
    </row>
    <row r="13" spans="1:7" s="213" customFormat="1" ht="14.25" customHeight="1" x14ac:dyDescent="0.25">
      <c r="A13" s="212"/>
      <c r="B13" s="219" t="s">
        <v>85</v>
      </c>
      <c r="C13" s="208" t="s">
        <v>28</v>
      </c>
      <c r="D13" s="208" t="s">
        <v>72</v>
      </c>
      <c r="E13" s="220" t="s">
        <v>74</v>
      </c>
      <c r="F13" s="212"/>
      <c r="G13" s="212"/>
    </row>
    <row r="14" spans="1:7" s="213" customFormat="1" ht="14.25" customHeight="1" x14ac:dyDescent="0.25">
      <c r="A14" s="212"/>
      <c r="B14" s="208" t="s">
        <v>86</v>
      </c>
      <c r="C14" s="208" t="s">
        <v>29</v>
      </c>
      <c r="D14" s="208" t="s">
        <v>40</v>
      </c>
      <c r="E14" s="208" t="s">
        <v>37</v>
      </c>
      <c r="F14" s="212"/>
      <c r="G14" s="212"/>
    </row>
    <row r="15" spans="1:7" s="213" customFormat="1" ht="14.25" customHeight="1" x14ac:dyDescent="0.25">
      <c r="A15" s="212"/>
      <c r="B15" s="219" t="s">
        <v>87</v>
      </c>
      <c r="C15" s="221" t="s">
        <v>655</v>
      </c>
      <c r="D15" s="221" t="s">
        <v>656</v>
      </c>
      <c r="E15" s="221" t="s">
        <v>657</v>
      </c>
      <c r="F15" s="212"/>
      <c r="G15" s="212"/>
    </row>
    <row r="16" spans="1:7" s="213" customFormat="1" ht="14.25" customHeight="1" x14ac:dyDescent="0.25">
      <c r="A16" s="212"/>
      <c r="B16" s="219" t="s">
        <v>88</v>
      </c>
      <c r="C16" s="281" t="s">
        <v>1004</v>
      </c>
      <c r="D16" s="281" t="s">
        <v>1004</v>
      </c>
      <c r="E16" s="281" t="s">
        <v>1004</v>
      </c>
      <c r="F16" s="212"/>
      <c r="G16" s="212"/>
    </row>
    <row r="17" spans="1:7" s="213" customFormat="1" ht="14.25" customHeight="1" x14ac:dyDescent="0.25">
      <c r="A17" s="212"/>
      <c r="B17" s="219"/>
      <c r="C17" s="221"/>
      <c r="D17" s="221"/>
      <c r="E17" s="221"/>
      <c r="F17" s="212"/>
      <c r="G17" s="212"/>
    </row>
    <row r="18" spans="1:7" s="213" customFormat="1" ht="14.25" customHeight="1" x14ac:dyDescent="0.25">
      <c r="A18" s="212"/>
      <c r="B18" s="219" t="s">
        <v>89</v>
      </c>
      <c r="C18" s="208" t="s">
        <v>34</v>
      </c>
      <c r="D18" s="208" t="s">
        <v>47</v>
      </c>
      <c r="E18" s="208" t="s">
        <v>46</v>
      </c>
      <c r="F18" s="212"/>
      <c r="G18" s="212"/>
    </row>
    <row r="19" spans="1:7" s="213" customFormat="1" ht="14.25" customHeight="1" x14ac:dyDescent="0.25">
      <c r="A19" s="212"/>
      <c r="B19" s="222" t="s">
        <v>112</v>
      </c>
      <c r="C19" s="277" t="s">
        <v>862</v>
      </c>
      <c r="D19" s="277" t="s">
        <v>863</v>
      </c>
      <c r="E19" s="277" t="s">
        <v>864</v>
      </c>
      <c r="F19" s="212"/>
      <c r="G19" s="212"/>
    </row>
    <row r="20" spans="1:7" s="213" customFormat="1" ht="14.25" customHeight="1" x14ac:dyDescent="0.25">
      <c r="A20" s="212"/>
      <c r="B20" s="222" t="s">
        <v>113</v>
      </c>
      <c r="C20" s="219" t="s">
        <v>639</v>
      </c>
      <c r="D20" s="219" t="s">
        <v>640</v>
      </c>
      <c r="E20" s="219" t="s">
        <v>641</v>
      </c>
      <c r="F20" s="212"/>
      <c r="G20" s="212"/>
    </row>
    <row r="21" spans="1:7" s="213" customFormat="1" ht="14.25" customHeight="1" x14ac:dyDescent="0.25">
      <c r="A21" s="212"/>
      <c r="B21" s="219" t="s">
        <v>114</v>
      </c>
      <c r="C21" s="333" t="s">
        <v>1072</v>
      </c>
      <c r="D21" s="333" t="s">
        <v>1073</v>
      </c>
      <c r="E21" s="333" t="s">
        <v>1073</v>
      </c>
      <c r="F21" s="212"/>
      <c r="G21" s="212"/>
    </row>
    <row r="22" spans="1:7" s="213" customFormat="1" ht="14.25" customHeight="1" x14ac:dyDescent="0.25">
      <c r="A22" s="212"/>
      <c r="B22" s="222" t="s">
        <v>115</v>
      </c>
      <c r="C22" s="208" t="s">
        <v>77</v>
      </c>
      <c r="D22" s="208" t="s">
        <v>80</v>
      </c>
      <c r="E22" s="208" t="s">
        <v>78</v>
      </c>
      <c r="F22" s="212"/>
      <c r="G22" s="212"/>
    </row>
    <row r="23" spans="1:7" s="213" customFormat="1" ht="14.25" customHeight="1" x14ac:dyDescent="0.25">
      <c r="A23" s="212"/>
      <c r="B23" s="219" t="s">
        <v>116</v>
      </c>
      <c r="C23" s="208" t="s">
        <v>42</v>
      </c>
      <c r="D23" s="208" t="s">
        <v>43</v>
      </c>
      <c r="E23" s="208" t="s">
        <v>35</v>
      </c>
      <c r="F23" s="212"/>
      <c r="G23" s="212"/>
    </row>
    <row r="24" spans="1:7" s="213" customFormat="1" ht="14.25" customHeight="1" x14ac:dyDescent="0.25">
      <c r="A24" s="212"/>
      <c r="B24" s="222" t="s">
        <v>638</v>
      </c>
      <c r="C24" s="364" t="s">
        <v>1066</v>
      </c>
      <c r="D24" s="364" t="s">
        <v>1066</v>
      </c>
      <c r="E24" s="364" t="s">
        <v>1066</v>
      </c>
      <c r="F24" s="212"/>
      <c r="G24" s="212"/>
    </row>
    <row r="25" spans="1:7" s="213" customFormat="1" ht="14.25" customHeight="1" x14ac:dyDescent="0.25">
      <c r="A25" s="212"/>
      <c r="B25" s="219" t="s">
        <v>644</v>
      </c>
      <c r="C25" s="208" t="s">
        <v>24</v>
      </c>
      <c r="D25" s="208" t="s">
        <v>41</v>
      </c>
      <c r="E25" s="208" t="s">
        <v>38</v>
      </c>
      <c r="F25" s="212"/>
      <c r="G25" s="212"/>
    </row>
    <row r="26" spans="1:7" s="213" customFormat="1" ht="14.25" customHeight="1" x14ac:dyDescent="0.25">
      <c r="A26" s="212"/>
      <c r="B26" s="222" t="s">
        <v>658</v>
      </c>
      <c r="C26" s="208" t="s">
        <v>76</v>
      </c>
      <c r="D26" s="208" t="s">
        <v>107</v>
      </c>
      <c r="E26" s="208" t="s">
        <v>104</v>
      </c>
      <c r="F26" s="212"/>
      <c r="G26" s="212"/>
    </row>
    <row r="27" spans="1:7" s="213" customFormat="1" ht="14.25" customHeight="1" x14ac:dyDescent="0.25">
      <c r="A27" s="212"/>
      <c r="B27" s="219" t="s">
        <v>659</v>
      </c>
      <c r="C27" s="208" t="s">
        <v>81</v>
      </c>
      <c r="D27" s="208" t="s">
        <v>108</v>
      </c>
      <c r="E27" s="208" t="s">
        <v>105</v>
      </c>
      <c r="F27" s="212"/>
      <c r="G27" s="212"/>
    </row>
    <row r="28" spans="1:7" s="213" customFormat="1" ht="14.25" customHeight="1" x14ac:dyDescent="0.25">
      <c r="A28" s="212"/>
      <c r="B28" s="222" t="s">
        <v>660</v>
      </c>
      <c r="C28" s="208" t="s">
        <v>79</v>
      </c>
      <c r="D28" s="208" t="s">
        <v>109</v>
      </c>
      <c r="E28" s="208" t="s">
        <v>106</v>
      </c>
      <c r="F28" s="212"/>
      <c r="G28" s="212"/>
    </row>
    <row r="29" spans="1:7" s="213" customFormat="1" ht="14.25" customHeight="1" x14ac:dyDescent="0.25">
      <c r="A29" s="212"/>
      <c r="B29" s="219" t="s">
        <v>841</v>
      </c>
      <c r="C29" s="364" t="s">
        <v>1336</v>
      </c>
      <c r="D29" s="364" t="s">
        <v>1337</v>
      </c>
      <c r="E29" s="364" t="s">
        <v>1338</v>
      </c>
      <c r="F29" s="212"/>
      <c r="G29" s="212"/>
    </row>
    <row r="30" spans="1:7" s="213" customFormat="1" ht="14.25" customHeight="1" x14ac:dyDescent="0.25">
      <c r="A30" s="212"/>
      <c r="B30" s="222" t="s">
        <v>842</v>
      </c>
      <c r="C30" s="278" t="s">
        <v>869</v>
      </c>
      <c r="D30" s="208" t="s">
        <v>111</v>
      </c>
      <c r="E30" s="208" t="s">
        <v>110</v>
      </c>
      <c r="F30" s="212"/>
      <c r="G30" s="212"/>
    </row>
    <row r="31" spans="1:7" ht="14.25" customHeight="1" x14ac:dyDescent="0.25">
      <c r="A31" s="212"/>
      <c r="F31" s="212"/>
      <c r="G31" s="212"/>
    </row>
    <row r="32" spans="1:7" s="213" customFormat="1" ht="14.25" customHeight="1" x14ac:dyDescent="0.25">
      <c r="A32" s="212"/>
      <c r="B32" s="212"/>
      <c r="C32" s="223"/>
      <c r="D32" s="223"/>
      <c r="E32" s="223"/>
      <c r="F32" s="212"/>
      <c r="G32" s="212"/>
    </row>
    <row r="33" spans="1:7" s="213" customFormat="1" ht="14.25" customHeight="1" x14ac:dyDescent="0.25">
      <c r="A33" s="212"/>
      <c r="B33" s="217" t="s">
        <v>91</v>
      </c>
      <c r="C33" s="218" t="s">
        <v>62</v>
      </c>
      <c r="D33" s="217" t="s">
        <v>804</v>
      </c>
      <c r="E33" s="217" t="s">
        <v>63</v>
      </c>
      <c r="F33" s="212"/>
      <c r="G33" s="212"/>
    </row>
    <row r="34" spans="1:7" s="213" customFormat="1" ht="14.25" customHeight="1" x14ac:dyDescent="0.25">
      <c r="A34" s="212"/>
      <c r="B34" s="212"/>
      <c r="C34" s="223"/>
      <c r="D34" s="223"/>
      <c r="E34" s="223"/>
      <c r="F34" s="212"/>
      <c r="G34" s="212"/>
    </row>
    <row r="35" spans="1:7" s="213" customFormat="1" ht="14.25" customHeight="1" x14ac:dyDescent="0.25">
      <c r="A35" s="212"/>
      <c r="B35" s="208" t="s">
        <v>93</v>
      </c>
      <c r="C35" s="208" t="s">
        <v>53</v>
      </c>
      <c r="D35" s="208" t="s">
        <v>54</v>
      </c>
      <c r="E35" s="208" t="s">
        <v>25</v>
      </c>
      <c r="F35" s="212"/>
      <c r="G35" s="212"/>
    </row>
    <row r="36" spans="1:7" s="213" customFormat="1" ht="14.25" customHeight="1" x14ac:dyDescent="0.25">
      <c r="A36" s="212"/>
      <c r="B36" s="208" t="s">
        <v>94</v>
      </c>
      <c r="C36" s="208" t="s">
        <v>55</v>
      </c>
      <c r="D36" s="208" t="s">
        <v>56</v>
      </c>
      <c r="E36" s="208" t="s">
        <v>10</v>
      </c>
      <c r="F36" s="212"/>
      <c r="G36" s="212"/>
    </row>
    <row r="37" spans="1:7" s="213" customFormat="1" ht="14.25" customHeight="1" x14ac:dyDescent="0.25">
      <c r="A37" s="212"/>
      <c r="B37" s="208" t="s">
        <v>95</v>
      </c>
      <c r="C37" s="208" t="s">
        <v>64</v>
      </c>
      <c r="D37" s="208" t="s">
        <v>8</v>
      </c>
      <c r="E37" s="208" t="s">
        <v>8</v>
      </c>
      <c r="F37" s="212"/>
      <c r="G37" s="212"/>
    </row>
    <row r="38" spans="1:7" s="213" customFormat="1" ht="14.25" customHeight="1" x14ac:dyDescent="0.25">
      <c r="A38" s="212"/>
      <c r="B38" s="208" t="s">
        <v>96</v>
      </c>
      <c r="C38" s="209" t="s">
        <v>674</v>
      </c>
      <c r="D38" s="209" t="s">
        <v>675</v>
      </c>
      <c r="E38" s="209" t="s">
        <v>672</v>
      </c>
      <c r="F38" s="212"/>
      <c r="G38" s="212"/>
    </row>
    <row r="39" spans="1:7" s="213" customFormat="1" ht="14.25" customHeight="1" x14ac:dyDescent="0.25">
      <c r="A39" s="212"/>
      <c r="B39" s="208" t="s">
        <v>97</v>
      </c>
      <c r="C39" s="208" t="s">
        <v>57</v>
      </c>
      <c r="D39" s="208" t="s">
        <v>58</v>
      </c>
      <c r="E39" s="208" t="s">
        <v>15</v>
      </c>
      <c r="F39" s="212"/>
      <c r="G39" s="212"/>
    </row>
    <row r="40" spans="1:7" s="213" customFormat="1" ht="14.25" customHeight="1" x14ac:dyDescent="0.25">
      <c r="A40" s="212"/>
      <c r="B40" s="208" t="s">
        <v>98</v>
      </c>
      <c r="C40" s="208" t="s">
        <v>9</v>
      </c>
      <c r="D40" s="208" t="s">
        <v>59</v>
      </c>
      <c r="E40" s="208" t="s">
        <v>9</v>
      </c>
      <c r="F40" s="212"/>
      <c r="G40" s="212"/>
    </row>
    <row r="41" spans="1:7" s="213" customFormat="1" ht="14.25" customHeight="1" x14ac:dyDescent="0.25">
      <c r="A41" s="212"/>
      <c r="B41" s="208" t="s">
        <v>99</v>
      </c>
      <c r="C41" s="208" t="s">
        <v>60</v>
      </c>
      <c r="D41" s="208" t="s">
        <v>61</v>
      </c>
      <c r="E41" s="208" t="s">
        <v>61</v>
      </c>
      <c r="F41" s="212"/>
      <c r="G41" s="212"/>
    </row>
    <row r="42" spans="1:7" s="213" customFormat="1" ht="14.25" customHeight="1" x14ac:dyDescent="0.25">
      <c r="A42" s="212"/>
      <c r="B42" s="209" t="s">
        <v>673</v>
      </c>
      <c r="C42" s="208" t="s">
        <v>66</v>
      </c>
      <c r="D42" s="208" t="s">
        <v>67</v>
      </c>
      <c r="E42" s="208" t="s">
        <v>65</v>
      </c>
      <c r="F42" s="212"/>
      <c r="G42" s="212"/>
    </row>
    <row r="43" spans="1:7" s="213" customFormat="1" ht="14.25" customHeight="1" x14ac:dyDescent="0.25">
      <c r="A43" s="212"/>
      <c r="B43" s="208" t="s">
        <v>1127</v>
      </c>
      <c r="C43" s="219" t="s">
        <v>2</v>
      </c>
      <c r="D43" s="219" t="s">
        <v>3</v>
      </c>
      <c r="E43" s="219" t="s">
        <v>1</v>
      </c>
      <c r="F43" s="212"/>
      <c r="G43" s="212"/>
    </row>
    <row r="44" spans="1:7" s="213" customFormat="1" ht="14.25" customHeight="1" x14ac:dyDescent="0.25">
      <c r="A44" s="212"/>
      <c r="B44" s="224"/>
      <c r="C44" s="223"/>
      <c r="D44" s="223"/>
      <c r="E44" s="223"/>
      <c r="F44" s="212"/>
      <c r="G44" s="212"/>
    </row>
    <row r="45" spans="1:7" s="213" customFormat="1" ht="14.25" customHeight="1" x14ac:dyDescent="0.25">
      <c r="A45" s="212"/>
      <c r="B45" s="212"/>
      <c r="C45" s="212"/>
      <c r="D45" s="212"/>
      <c r="E45" s="212"/>
      <c r="F45" s="212"/>
      <c r="G45" s="212"/>
    </row>
    <row r="46" spans="1:7" s="213" customFormat="1" ht="14.25" customHeight="1" x14ac:dyDescent="0.25">
      <c r="A46" s="212"/>
      <c r="B46" s="217" t="s">
        <v>684</v>
      </c>
      <c r="C46" s="217" t="s">
        <v>30</v>
      </c>
      <c r="D46" s="217" t="s">
        <v>5</v>
      </c>
      <c r="E46" s="217" t="s">
        <v>4</v>
      </c>
      <c r="F46" s="212"/>
      <c r="G46" s="212"/>
    </row>
    <row r="47" spans="1:7" s="213" customFormat="1" ht="14.25" customHeight="1" x14ac:dyDescent="0.25">
      <c r="A47" s="212"/>
      <c r="B47" s="212"/>
      <c r="C47" s="212"/>
      <c r="D47" s="212"/>
      <c r="E47" s="212"/>
      <c r="F47" s="212"/>
      <c r="G47" s="212"/>
    </row>
    <row r="48" spans="1:7" s="213" customFormat="1" ht="14.25" customHeight="1" x14ac:dyDescent="0.25">
      <c r="A48" s="212"/>
      <c r="B48" s="236" t="s">
        <v>685</v>
      </c>
      <c r="C48" s="208" t="s">
        <v>48</v>
      </c>
      <c r="D48" s="208" t="s">
        <v>49</v>
      </c>
      <c r="E48" s="246" t="s">
        <v>75</v>
      </c>
      <c r="F48" s="212"/>
      <c r="G48" s="212"/>
    </row>
    <row r="49" spans="1:7" s="213" customFormat="1" ht="53.25" customHeight="1" x14ac:dyDescent="0.2">
      <c r="A49" s="212"/>
      <c r="B49" s="236" t="s">
        <v>686</v>
      </c>
      <c r="C49" s="361" t="s">
        <v>1327</v>
      </c>
      <c r="D49" s="444" t="s">
        <v>1527</v>
      </c>
      <c r="E49" s="6" t="s">
        <v>1520</v>
      </c>
      <c r="F49" s="212"/>
      <c r="G49" s="212"/>
    </row>
    <row r="50" spans="1:7" s="213" customFormat="1" ht="14.25" customHeight="1" x14ac:dyDescent="0.25">
      <c r="A50" s="212"/>
      <c r="B50" s="236" t="s">
        <v>687</v>
      </c>
      <c r="C50" s="446" t="s">
        <v>1544</v>
      </c>
      <c r="D50" s="446" t="s">
        <v>1551</v>
      </c>
      <c r="E50" s="447" t="s">
        <v>1552</v>
      </c>
      <c r="F50" s="212"/>
      <c r="G50" s="212"/>
    </row>
    <row r="51" spans="1:7" s="213" customFormat="1" ht="14.25" customHeight="1" x14ac:dyDescent="0.25">
      <c r="A51" s="212"/>
      <c r="B51" s="236" t="s">
        <v>688</v>
      </c>
      <c r="C51" s="446" t="s">
        <v>1545</v>
      </c>
      <c r="D51" s="446" t="s">
        <v>1547</v>
      </c>
      <c r="E51" s="447" t="s">
        <v>1546</v>
      </c>
      <c r="F51" s="212"/>
      <c r="G51" s="212"/>
    </row>
    <row r="52" spans="1:7" s="213" customFormat="1" ht="14.25" customHeight="1" x14ac:dyDescent="0.25">
      <c r="A52" s="212"/>
      <c r="B52" s="236" t="s">
        <v>689</v>
      </c>
      <c r="C52" s="446" t="s">
        <v>1548</v>
      </c>
      <c r="D52" s="446" t="s">
        <v>1549</v>
      </c>
      <c r="E52" s="447" t="s">
        <v>1550</v>
      </c>
      <c r="F52" s="212"/>
      <c r="G52" s="212"/>
    </row>
    <row r="53" spans="1:7" s="213" customFormat="1" ht="14.25" customHeight="1" x14ac:dyDescent="0.25">
      <c r="A53" s="212"/>
      <c r="B53" s="236" t="s">
        <v>690</v>
      </c>
      <c r="C53" s="208" t="s">
        <v>765</v>
      </c>
      <c r="D53" s="208" t="s">
        <v>777</v>
      </c>
      <c r="E53" s="246" t="s">
        <v>766</v>
      </c>
      <c r="F53" s="212"/>
      <c r="G53" s="212"/>
    </row>
    <row r="54" spans="1:7" s="213" customFormat="1" ht="14.25" customHeight="1" x14ac:dyDescent="0.25">
      <c r="A54" s="212"/>
      <c r="B54" s="236" t="s">
        <v>691</v>
      </c>
      <c r="C54" s="208" t="s">
        <v>50</v>
      </c>
      <c r="D54" s="207" t="s">
        <v>73</v>
      </c>
      <c r="E54" s="246" t="s">
        <v>7</v>
      </c>
      <c r="F54" s="212"/>
    </row>
    <row r="55" spans="1:7" s="213" customFormat="1" ht="14.25" customHeight="1" x14ac:dyDescent="0.25">
      <c r="A55" s="212"/>
      <c r="B55" s="236" t="s">
        <v>692</v>
      </c>
      <c r="C55" s="348" t="s">
        <v>1095</v>
      </c>
      <c r="D55" s="348" t="s">
        <v>1096</v>
      </c>
      <c r="E55" s="349" t="s">
        <v>1097</v>
      </c>
      <c r="F55" s="212"/>
      <c r="G55" s="367" t="s">
        <v>1350</v>
      </c>
    </row>
    <row r="56" spans="1:7" s="213" customFormat="1" ht="14.25" customHeight="1" x14ac:dyDescent="0.25">
      <c r="A56" s="212"/>
      <c r="B56" s="236" t="s">
        <v>693</v>
      </c>
      <c r="C56" s="368" t="str">
        <f>"BE Tilde "&amp;$G$56</f>
        <v>BE Tilde Schaden</v>
      </c>
      <c r="D56" s="368" t="str">
        <f t="shared" ref="D56:E56" si="0">"BE Tilde "&amp;$G$56</f>
        <v>BE Tilde Schaden</v>
      </c>
      <c r="E56" s="368" t="str">
        <f t="shared" si="0"/>
        <v>BE Tilde Schaden</v>
      </c>
      <c r="F56" s="212"/>
      <c r="G56" s="367" t="str">
        <f>IF(OR(Branch="",Branch=VLOOKUP("T.01.04",Translation,LanguageNo+1,FALSE),Branch=VLOOKUP("T.01.06",Translation,LanguageNo+1,FALSE)),VLOOKUP("T.01.05",Translation,LanguageNo+1,FALSE),Branch)</f>
        <v>Schaden</v>
      </c>
    </row>
    <row r="57" spans="1:7" s="213" customFormat="1" ht="14.25" customHeight="1" x14ac:dyDescent="0.25">
      <c r="A57" s="212"/>
      <c r="B57" s="236" t="s">
        <v>694</v>
      </c>
      <c r="C57" s="368" t="str">
        <f>"Chi "&amp;$G$56</f>
        <v>Chi Schaden</v>
      </c>
      <c r="D57" s="368" t="str">
        <f t="shared" ref="D57:E57" si="1">"Chi "&amp;$G$56</f>
        <v>Chi Schaden</v>
      </c>
      <c r="E57" s="368" t="str">
        <f t="shared" si="1"/>
        <v>Chi Schaden</v>
      </c>
      <c r="F57" s="212"/>
      <c r="G57" s="212"/>
    </row>
    <row r="58" spans="1:7" s="213" customFormat="1" ht="14.25" customHeight="1" x14ac:dyDescent="0.25">
      <c r="A58" s="212"/>
      <c r="B58" s="236" t="s">
        <v>695</v>
      </c>
      <c r="C58" s="348" t="s">
        <v>1098</v>
      </c>
      <c r="D58" s="348" t="s">
        <v>1099</v>
      </c>
      <c r="E58" s="349" t="s">
        <v>1100</v>
      </c>
      <c r="G58" s="212"/>
    </row>
    <row r="59" spans="1:7" s="213" customFormat="1" ht="14.25" customHeight="1" x14ac:dyDescent="0.25">
      <c r="A59" s="212"/>
      <c r="B59" s="236" t="s">
        <v>696</v>
      </c>
      <c r="C59" s="368" t="str">
        <f>"MVM "&amp;$G$56</f>
        <v>MVM Schaden</v>
      </c>
      <c r="D59" s="368" t="str">
        <f t="shared" ref="D59:E59" si="2">"MVM "&amp;$G$56</f>
        <v>MVM Schaden</v>
      </c>
      <c r="E59" s="368" t="str">
        <f t="shared" si="2"/>
        <v>MVM Schaden</v>
      </c>
      <c r="F59" s="212"/>
      <c r="G59" s="212"/>
    </row>
    <row r="60" spans="1:7" s="213" customFormat="1" ht="14.25" customHeight="1" x14ac:dyDescent="0.25">
      <c r="A60" s="212"/>
      <c r="B60" s="236" t="s">
        <v>697</v>
      </c>
      <c r="C60" s="207" t="s">
        <v>730</v>
      </c>
      <c r="D60" s="207" t="s">
        <v>729</v>
      </c>
      <c r="E60" s="246" t="s">
        <v>734</v>
      </c>
      <c r="F60" s="212"/>
      <c r="G60" s="212"/>
    </row>
    <row r="61" spans="1:7" s="213" customFormat="1" ht="14.25" customHeight="1" x14ac:dyDescent="0.25">
      <c r="A61" s="212"/>
      <c r="B61" s="236" t="s">
        <v>698</v>
      </c>
      <c r="C61" s="208" t="s">
        <v>753</v>
      </c>
      <c r="D61" s="234" t="s">
        <v>759</v>
      </c>
      <c r="E61" s="246" t="s">
        <v>760</v>
      </c>
      <c r="F61" s="212"/>
      <c r="G61" s="212"/>
    </row>
    <row r="62" spans="1:7" s="213" customFormat="1" ht="14.25" customHeight="1" x14ac:dyDescent="0.25">
      <c r="A62" s="212"/>
      <c r="B62" s="236" t="s">
        <v>699</v>
      </c>
      <c r="C62" s="208" t="s">
        <v>754</v>
      </c>
      <c r="D62" s="234" t="s">
        <v>763</v>
      </c>
      <c r="E62" s="246" t="s">
        <v>762</v>
      </c>
      <c r="F62" s="212"/>
      <c r="G62" s="212"/>
    </row>
    <row r="63" spans="1:7" s="213" customFormat="1" ht="14.25" customHeight="1" x14ac:dyDescent="0.2">
      <c r="A63" s="212"/>
      <c r="B63" s="236" t="s">
        <v>1129</v>
      </c>
      <c r="C63" s="336" t="s">
        <v>1075</v>
      </c>
      <c r="D63" s="337" t="s">
        <v>1076</v>
      </c>
      <c r="E63" s="338" t="s">
        <v>1077</v>
      </c>
      <c r="F63" s="212"/>
      <c r="G63" s="212"/>
    </row>
    <row r="64" spans="1:7" s="213" customFormat="1" ht="14.25" customHeight="1" x14ac:dyDescent="0.25">
      <c r="A64" s="212"/>
      <c r="B64" s="236" t="s">
        <v>1130</v>
      </c>
      <c r="C64" s="208" t="s">
        <v>755</v>
      </c>
      <c r="D64" s="234" t="s">
        <v>764</v>
      </c>
      <c r="E64" s="246" t="s">
        <v>761</v>
      </c>
      <c r="F64" s="212"/>
      <c r="G64" s="212"/>
    </row>
    <row r="65" spans="1:7" s="213" customFormat="1" ht="14.25" customHeight="1" x14ac:dyDescent="0.25">
      <c r="A65" s="212"/>
      <c r="B65" s="220" t="s">
        <v>1131</v>
      </c>
      <c r="C65" s="208" t="s">
        <v>1067</v>
      </c>
      <c r="D65" s="353" t="s">
        <v>1112</v>
      </c>
      <c r="E65" s="354" t="s">
        <v>1120</v>
      </c>
      <c r="F65" s="212"/>
      <c r="G65" s="212"/>
    </row>
    <row r="66" spans="1:7" s="213" customFormat="1" ht="14.25" customHeight="1" x14ac:dyDescent="0.25">
      <c r="A66" s="212"/>
      <c r="B66" s="220" t="s">
        <v>1132</v>
      </c>
      <c r="C66" s="208" t="s">
        <v>1068</v>
      </c>
      <c r="D66" s="353" t="s">
        <v>1111</v>
      </c>
      <c r="E66" s="354" t="s">
        <v>1121</v>
      </c>
      <c r="F66" s="212"/>
      <c r="G66" s="212"/>
    </row>
    <row r="67" spans="1:7" s="213" customFormat="1" ht="14.25" customHeight="1" x14ac:dyDescent="0.25">
      <c r="A67" s="212"/>
      <c r="B67" s="236" t="s">
        <v>1133</v>
      </c>
      <c r="C67" s="208" t="s">
        <v>1069</v>
      </c>
      <c r="D67" s="353" t="s">
        <v>1113</v>
      </c>
      <c r="E67" s="354" t="s">
        <v>1122</v>
      </c>
      <c r="F67" s="212"/>
      <c r="G67" s="212"/>
    </row>
    <row r="68" spans="1:7" s="213" customFormat="1" ht="14.25" customHeight="1" x14ac:dyDescent="0.25">
      <c r="A68" s="212"/>
      <c r="B68" s="220" t="s">
        <v>1134</v>
      </c>
      <c r="C68" s="223" t="s">
        <v>1070</v>
      </c>
      <c r="D68" s="356" t="s">
        <v>1071</v>
      </c>
      <c r="E68" s="246" t="s">
        <v>1071</v>
      </c>
      <c r="F68" s="212"/>
      <c r="G68" s="212"/>
    </row>
    <row r="69" spans="1:7" s="213" customFormat="1" ht="14.25" customHeight="1" x14ac:dyDescent="0.25">
      <c r="A69" s="212"/>
      <c r="B69" s="236" t="s">
        <v>1135</v>
      </c>
      <c r="C69" s="360" t="s">
        <v>1328</v>
      </c>
      <c r="D69" s="442" t="s">
        <v>1521</v>
      </c>
      <c r="E69" s="443" t="s">
        <v>1522</v>
      </c>
      <c r="F69" s="212"/>
      <c r="G69" s="212"/>
    </row>
    <row r="70" spans="1:7" s="213" customFormat="1" ht="14.25" customHeight="1" x14ac:dyDescent="0.25">
      <c r="A70" s="212"/>
      <c r="B70" s="236" t="s">
        <v>1136</v>
      </c>
      <c r="C70" s="446" t="s">
        <v>1553</v>
      </c>
      <c r="D70" s="446" t="s">
        <v>1555</v>
      </c>
      <c r="E70" s="447" t="s">
        <v>1554</v>
      </c>
      <c r="F70" s="212"/>
      <c r="G70" s="212"/>
    </row>
    <row r="71" spans="1:7" s="213" customFormat="1" ht="14.25" customHeight="1" x14ac:dyDescent="0.25">
      <c r="A71" s="212"/>
      <c r="B71" s="236" t="s">
        <v>1137</v>
      </c>
      <c r="C71" s="446" t="s">
        <v>1556</v>
      </c>
      <c r="D71" s="446" t="s">
        <v>1557</v>
      </c>
      <c r="E71" s="447" t="s">
        <v>1558</v>
      </c>
      <c r="F71" s="212"/>
      <c r="G71" s="212"/>
    </row>
    <row r="72" spans="1:7" s="213" customFormat="1" ht="14.25" customHeight="1" x14ac:dyDescent="0.25">
      <c r="A72" s="212"/>
      <c r="B72" s="220" t="s">
        <v>1138</v>
      </c>
      <c r="C72" s="446" t="s">
        <v>1559</v>
      </c>
      <c r="D72" s="446" t="s">
        <v>1561</v>
      </c>
      <c r="E72" s="447" t="s">
        <v>1560</v>
      </c>
      <c r="F72" s="212"/>
      <c r="G72" s="212"/>
    </row>
    <row r="73" spans="1:7" s="213" customFormat="1" ht="14.25" customHeight="1" x14ac:dyDescent="0.25">
      <c r="A73" s="212"/>
      <c r="B73" s="353" t="s">
        <v>1139</v>
      </c>
      <c r="C73" s="274" t="s">
        <v>1057</v>
      </c>
      <c r="D73" s="332" t="s">
        <v>1065</v>
      </c>
      <c r="E73" s="274" t="s">
        <v>1058</v>
      </c>
      <c r="F73" s="212"/>
      <c r="G73" s="212"/>
    </row>
    <row r="74" spans="1:7" s="213" customFormat="1" ht="14.25" customHeight="1" x14ac:dyDescent="0.25">
      <c r="A74" s="212"/>
      <c r="B74" s="353" t="s">
        <v>1140</v>
      </c>
      <c r="C74" s="274" t="s">
        <v>856</v>
      </c>
      <c r="D74" s="274" t="s">
        <v>857</v>
      </c>
      <c r="E74" s="443" t="s">
        <v>1526</v>
      </c>
      <c r="F74" s="212"/>
      <c r="G74" s="212"/>
    </row>
    <row r="75" spans="1:7" s="213" customFormat="1" ht="14.25" customHeight="1" x14ac:dyDescent="0.25">
      <c r="A75" s="212"/>
      <c r="B75" s="353" t="s">
        <v>1141</v>
      </c>
      <c r="C75" s="274" t="s">
        <v>858</v>
      </c>
      <c r="D75" s="274" t="s">
        <v>860</v>
      </c>
      <c r="E75" s="273" t="s">
        <v>859</v>
      </c>
      <c r="F75" s="212"/>
      <c r="G75" s="212"/>
    </row>
    <row r="76" spans="1:7" s="213" customFormat="1" ht="14.25" customHeight="1" x14ac:dyDescent="0.25">
      <c r="A76" s="212"/>
      <c r="B76" s="220" t="s">
        <v>1142</v>
      </c>
      <c r="C76" s="365" t="s">
        <v>1341</v>
      </c>
      <c r="D76" s="365" t="s">
        <v>1342</v>
      </c>
      <c r="E76" s="366" t="s">
        <v>1343</v>
      </c>
      <c r="F76" s="212"/>
      <c r="G76" s="212"/>
    </row>
    <row r="77" spans="1:7" s="213" customFormat="1" ht="14.25" customHeight="1" x14ac:dyDescent="0.25">
      <c r="A77" s="212"/>
      <c r="B77" s="353" t="s">
        <v>1143</v>
      </c>
      <c r="C77" s="362" t="s">
        <v>1329</v>
      </c>
      <c r="D77" s="362" t="s">
        <v>1330</v>
      </c>
      <c r="E77" s="363" t="s">
        <v>1331</v>
      </c>
      <c r="F77" s="212"/>
      <c r="G77" s="212"/>
    </row>
    <row r="78" spans="1:7" s="213" customFormat="1" ht="14.25" customHeight="1" x14ac:dyDescent="0.25">
      <c r="A78" s="212"/>
      <c r="B78" s="353" t="s">
        <v>1540</v>
      </c>
      <c r="C78" s="353" t="s">
        <v>1108</v>
      </c>
      <c r="D78" s="317" t="s">
        <v>1063</v>
      </c>
      <c r="E78" s="318" t="s">
        <v>1064</v>
      </c>
      <c r="F78" s="212"/>
      <c r="G78" s="212"/>
    </row>
    <row r="79" spans="1:7" s="213" customFormat="1" ht="14.25" customHeight="1" x14ac:dyDescent="0.25">
      <c r="A79" s="212"/>
      <c r="B79" s="353" t="s">
        <v>1541</v>
      </c>
      <c r="C79" s="353" t="s">
        <v>1119</v>
      </c>
      <c r="D79" s="445" t="s">
        <v>1532</v>
      </c>
      <c r="E79" s="354" t="s">
        <v>1116</v>
      </c>
      <c r="F79" s="212"/>
      <c r="G79" s="212"/>
    </row>
    <row r="80" spans="1:7" s="213" customFormat="1" ht="14.25" customHeight="1" x14ac:dyDescent="0.25">
      <c r="A80" s="212"/>
      <c r="B80" s="220" t="s">
        <v>1542</v>
      </c>
      <c r="C80" s="350" t="s">
        <v>1102</v>
      </c>
      <c r="D80" s="351" t="s">
        <v>1101</v>
      </c>
      <c r="E80" s="354" t="s">
        <v>1117</v>
      </c>
      <c r="F80" s="212"/>
      <c r="G80" s="212"/>
    </row>
    <row r="81" spans="1:7" s="213" customFormat="1" ht="14.25" customHeight="1" x14ac:dyDescent="0.25">
      <c r="A81" s="212"/>
      <c r="B81" s="353" t="s">
        <v>1543</v>
      </c>
      <c r="C81" s="353" t="s">
        <v>1114</v>
      </c>
      <c r="D81" s="353" t="s">
        <v>1115</v>
      </c>
      <c r="E81" s="354" t="s">
        <v>1118</v>
      </c>
      <c r="F81" s="212"/>
      <c r="G81" s="212"/>
    </row>
    <row r="82" spans="1:7" s="213" customFormat="1" ht="14.25" customHeight="1" x14ac:dyDescent="0.25">
      <c r="A82" s="212"/>
      <c r="B82" s="355"/>
      <c r="C82" s="357"/>
      <c r="D82" s="357"/>
      <c r="E82" s="358"/>
      <c r="F82" s="212"/>
      <c r="G82" s="212"/>
    </row>
    <row r="83" spans="1:7" s="213" customFormat="1" ht="14.25" customHeight="1" x14ac:dyDescent="0.25">
      <c r="A83" s="212"/>
      <c r="B83" s="355"/>
      <c r="C83" s="357"/>
      <c r="D83" s="357"/>
      <c r="E83" s="358"/>
      <c r="F83" s="212"/>
      <c r="G83" s="212"/>
    </row>
    <row r="84" spans="1:7" s="213" customFormat="1" ht="14.25" customHeight="1" x14ac:dyDescent="0.25">
      <c r="A84" s="212"/>
      <c r="B84" s="217" t="s">
        <v>700</v>
      </c>
      <c r="C84" s="217" t="s">
        <v>121</v>
      </c>
      <c r="D84" s="217" t="s">
        <v>642</v>
      </c>
      <c r="E84" s="217" t="s">
        <v>643</v>
      </c>
      <c r="F84" s="212"/>
      <c r="G84" s="212"/>
    </row>
    <row r="85" spans="1:7" s="213" customFormat="1" ht="14.25" customHeight="1" x14ac:dyDescent="0.25">
      <c r="A85" s="212"/>
      <c r="B85" s="225"/>
      <c r="C85" s="223"/>
      <c r="D85" s="223"/>
      <c r="E85" s="223"/>
      <c r="F85" s="212"/>
      <c r="G85" s="212"/>
    </row>
    <row r="86" spans="1:7" s="213" customFormat="1" ht="14.25" customHeight="1" x14ac:dyDescent="0.25">
      <c r="A86" s="212"/>
      <c r="B86" s="221" t="s">
        <v>701</v>
      </c>
      <c r="C86" s="621" t="s">
        <v>1649</v>
      </c>
      <c r="D86" s="208" t="s">
        <v>642</v>
      </c>
      <c r="E86" s="622" t="s">
        <v>1650</v>
      </c>
      <c r="F86" s="212"/>
      <c r="G86" s="212"/>
    </row>
    <row r="87" spans="1:7" s="213" customFormat="1" ht="14.25" customHeight="1" x14ac:dyDescent="0.25">
      <c r="A87" s="212"/>
      <c r="B87" s="221" t="s">
        <v>702</v>
      </c>
      <c r="C87" s="208" t="s">
        <v>141</v>
      </c>
      <c r="D87" s="208" t="s">
        <v>650</v>
      </c>
      <c r="E87" s="246" t="s">
        <v>649</v>
      </c>
      <c r="F87" s="212"/>
      <c r="G87" s="212"/>
    </row>
    <row r="88" spans="1:7" s="229" customFormat="1" ht="14.25" customHeight="1" x14ac:dyDescent="0.25">
      <c r="B88" s="220" t="s">
        <v>703</v>
      </c>
      <c r="C88" s="220" t="s">
        <v>1424</v>
      </c>
      <c r="D88" s="220" t="s">
        <v>1563</v>
      </c>
      <c r="E88" s="247" t="s">
        <v>1425</v>
      </c>
    </row>
    <row r="89" spans="1:7" s="229" customFormat="1" ht="14.25" customHeight="1" x14ac:dyDescent="0.25">
      <c r="B89" s="220" t="s">
        <v>704</v>
      </c>
      <c r="C89" s="220" t="s">
        <v>1457</v>
      </c>
      <c r="D89" s="220" t="s">
        <v>1458</v>
      </c>
      <c r="E89" s="247" t="s">
        <v>1459</v>
      </c>
    </row>
    <row r="90" spans="1:7" s="229" customFormat="1" ht="14.25" customHeight="1" x14ac:dyDescent="0.25">
      <c r="B90" s="220" t="s">
        <v>705</v>
      </c>
      <c r="C90" s="220" t="s">
        <v>1461</v>
      </c>
      <c r="D90" s="220" t="s">
        <v>1462</v>
      </c>
      <c r="E90" s="247" t="s">
        <v>1463</v>
      </c>
    </row>
    <row r="91" spans="1:7" s="229" customFormat="1" ht="14.25" customHeight="1" x14ac:dyDescent="0.25">
      <c r="B91" s="220" t="s">
        <v>706</v>
      </c>
      <c r="C91" s="220" t="s">
        <v>142</v>
      </c>
      <c r="D91" s="220" t="s">
        <v>1564</v>
      </c>
      <c r="E91" s="247" t="s">
        <v>651</v>
      </c>
    </row>
    <row r="92" spans="1:7" s="229" customFormat="1" ht="14.25" customHeight="1" x14ac:dyDescent="0.25">
      <c r="B92" s="220"/>
      <c r="C92" s="220"/>
      <c r="D92" s="220"/>
      <c r="E92" s="220"/>
    </row>
    <row r="93" spans="1:7" s="229" customFormat="1" ht="14.25" customHeight="1" x14ac:dyDescent="0.25">
      <c r="B93" s="220" t="s">
        <v>707</v>
      </c>
      <c r="C93" s="220" t="s">
        <v>144</v>
      </c>
      <c r="D93" s="220" t="s">
        <v>1026</v>
      </c>
      <c r="E93" s="220" t="s">
        <v>145</v>
      </c>
    </row>
    <row r="94" spans="1:7" s="229" customFormat="1" ht="14.25" customHeight="1" x14ac:dyDescent="0.25">
      <c r="B94" s="220" t="s">
        <v>708</v>
      </c>
      <c r="C94" s="220" t="s">
        <v>147</v>
      </c>
      <c r="D94" s="220" t="s">
        <v>1025</v>
      </c>
      <c r="E94" s="220" t="s">
        <v>148</v>
      </c>
    </row>
    <row r="95" spans="1:7" s="229" customFormat="1" ht="14.25" customHeight="1" x14ac:dyDescent="0.25">
      <c r="B95" s="220" t="s">
        <v>709</v>
      </c>
      <c r="C95" s="220" t="s">
        <v>52</v>
      </c>
      <c r="D95" s="220" t="s">
        <v>1362</v>
      </c>
      <c r="E95" s="220" t="s">
        <v>1363</v>
      </c>
    </row>
    <row r="96" spans="1:7" s="229" customFormat="1" ht="14.25" customHeight="1" x14ac:dyDescent="0.25">
      <c r="B96" s="220" t="s">
        <v>710</v>
      </c>
      <c r="C96" s="220" t="s">
        <v>150</v>
      </c>
      <c r="D96" s="220" t="s">
        <v>1565</v>
      </c>
      <c r="E96" s="220" t="s">
        <v>151</v>
      </c>
    </row>
    <row r="97" spans="1:7" s="229" customFormat="1" ht="14.25" customHeight="1" x14ac:dyDescent="0.25">
      <c r="B97" s="220" t="s">
        <v>711</v>
      </c>
      <c r="C97" s="220" t="s">
        <v>1566</v>
      </c>
      <c r="D97" s="220" t="s">
        <v>153</v>
      </c>
      <c r="E97" s="220" t="s">
        <v>154</v>
      </c>
    </row>
    <row r="98" spans="1:7" s="229" customFormat="1" ht="14.25" customHeight="1" x14ac:dyDescent="0.25">
      <c r="B98" s="220" t="s">
        <v>712</v>
      </c>
      <c r="C98" s="220" t="s">
        <v>1355</v>
      </c>
      <c r="D98" s="220" t="s">
        <v>1364</v>
      </c>
      <c r="E98" s="220" t="s">
        <v>410</v>
      </c>
    </row>
    <row r="99" spans="1:7" s="229" customFormat="1" ht="14.25" customHeight="1" x14ac:dyDescent="0.25">
      <c r="B99" s="220" t="s">
        <v>713</v>
      </c>
      <c r="C99" s="220" t="s">
        <v>1356</v>
      </c>
      <c r="D99" s="220" t="s">
        <v>1567</v>
      </c>
      <c r="E99" s="220" t="s">
        <v>1508</v>
      </c>
    </row>
    <row r="100" spans="1:7" s="229" customFormat="1" ht="14.25" customHeight="1" x14ac:dyDescent="0.25">
      <c r="B100" s="220" t="s">
        <v>714</v>
      </c>
      <c r="C100" s="220" t="s">
        <v>1365</v>
      </c>
      <c r="D100" s="220" t="s">
        <v>1568</v>
      </c>
      <c r="E100" s="220" t="s">
        <v>1509</v>
      </c>
    </row>
    <row r="101" spans="1:7" s="229" customFormat="1" ht="14.25" customHeight="1" x14ac:dyDescent="0.25">
      <c r="B101" s="220" t="s">
        <v>715</v>
      </c>
      <c r="C101" s="220" t="s">
        <v>1369</v>
      </c>
      <c r="D101" s="220" t="s">
        <v>1370</v>
      </c>
      <c r="E101" s="220" t="s">
        <v>1371</v>
      </c>
    </row>
    <row r="102" spans="1:7" s="229" customFormat="1" ht="14.25" customHeight="1" x14ac:dyDescent="0.25">
      <c r="B102" s="220" t="s">
        <v>716</v>
      </c>
      <c r="C102" s="220" t="s">
        <v>158</v>
      </c>
      <c r="D102" s="220" t="s">
        <v>1569</v>
      </c>
      <c r="E102" s="220" t="s">
        <v>899</v>
      </c>
    </row>
    <row r="103" spans="1:7" s="229" customFormat="1" ht="14.25" customHeight="1" x14ac:dyDescent="0.25">
      <c r="B103" s="220" t="s">
        <v>717</v>
      </c>
      <c r="C103" s="220" t="s">
        <v>1357</v>
      </c>
      <c r="D103" s="220" t="s">
        <v>1496</v>
      </c>
      <c r="E103" s="220" t="s">
        <v>1372</v>
      </c>
    </row>
    <row r="104" spans="1:7" s="229" customFormat="1" ht="14.25" customHeight="1" x14ac:dyDescent="0.25">
      <c r="B104" s="220" t="s">
        <v>718</v>
      </c>
      <c r="C104" s="220" t="s">
        <v>1358</v>
      </c>
      <c r="D104" s="220" t="s">
        <v>70</v>
      </c>
      <c r="E104" s="220" t="s">
        <v>1366</v>
      </c>
    </row>
    <row r="105" spans="1:7" s="213" customFormat="1" ht="14.25" customHeight="1" x14ac:dyDescent="0.25">
      <c r="A105" s="212"/>
      <c r="B105" s="221"/>
      <c r="C105" s="208"/>
      <c r="D105" s="208"/>
      <c r="E105" s="208"/>
      <c r="F105" s="212"/>
      <c r="G105" s="212"/>
    </row>
    <row r="106" spans="1:7" s="213" customFormat="1" ht="14.25" customHeight="1" x14ac:dyDescent="0.25">
      <c r="A106" s="212"/>
      <c r="B106" s="371" t="s">
        <v>719</v>
      </c>
      <c r="C106" s="208" t="s">
        <v>164</v>
      </c>
      <c r="D106" s="208" t="s">
        <v>165</v>
      </c>
      <c r="E106" s="208" t="s">
        <v>166</v>
      </c>
      <c r="F106" s="212"/>
      <c r="G106" s="212"/>
    </row>
    <row r="107" spans="1:7" s="213" customFormat="1" ht="14.25" customHeight="1" x14ac:dyDescent="0.25">
      <c r="A107" s="212"/>
      <c r="B107" s="371" t="s">
        <v>720</v>
      </c>
      <c r="C107" s="208" t="s">
        <v>122</v>
      </c>
      <c r="D107" s="208" t="s">
        <v>168</v>
      </c>
      <c r="E107" s="208" t="s">
        <v>895</v>
      </c>
      <c r="F107" s="212"/>
      <c r="G107" s="212"/>
    </row>
    <row r="108" spans="1:7" s="213" customFormat="1" ht="14.25" customHeight="1" x14ac:dyDescent="0.25">
      <c r="A108" s="212"/>
      <c r="B108" s="371" t="s">
        <v>721</v>
      </c>
      <c r="C108" s="208" t="s">
        <v>170</v>
      </c>
      <c r="D108" s="208" t="s">
        <v>171</v>
      </c>
      <c r="E108" s="279" t="s">
        <v>897</v>
      </c>
      <c r="F108" s="212"/>
      <c r="G108" s="212"/>
    </row>
    <row r="109" spans="1:7" s="213" customFormat="1" ht="14.25" customHeight="1" x14ac:dyDescent="0.25">
      <c r="A109" s="212"/>
      <c r="B109" s="371" t="s">
        <v>722</v>
      </c>
      <c r="C109" s="208" t="s">
        <v>173</v>
      </c>
      <c r="D109" s="208" t="s">
        <v>174</v>
      </c>
      <c r="E109" s="279" t="s">
        <v>898</v>
      </c>
      <c r="F109" s="212"/>
      <c r="G109" s="212"/>
    </row>
    <row r="110" spans="1:7" s="213" customFormat="1" ht="14.25" customHeight="1" x14ac:dyDescent="0.25">
      <c r="A110" s="212"/>
      <c r="C110" s="208"/>
      <c r="D110" s="208"/>
      <c r="E110" s="208"/>
      <c r="F110" s="212"/>
      <c r="G110" s="212"/>
    </row>
    <row r="111" spans="1:7" s="213" customFormat="1" ht="14.25" customHeight="1" x14ac:dyDescent="0.25">
      <c r="A111" s="212"/>
      <c r="B111" s="371" t="s">
        <v>723</v>
      </c>
      <c r="C111" s="208" t="s">
        <v>123</v>
      </c>
      <c r="D111" s="221" t="s">
        <v>652</v>
      </c>
      <c r="E111" s="221" t="s">
        <v>896</v>
      </c>
      <c r="F111" s="212"/>
      <c r="G111" s="212"/>
    </row>
    <row r="112" spans="1:7" s="213" customFormat="1" ht="14.25" customHeight="1" x14ac:dyDescent="0.25">
      <c r="A112" s="212"/>
      <c r="B112" s="371" t="s">
        <v>724</v>
      </c>
      <c r="C112" s="208" t="s">
        <v>170</v>
      </c>
      <c r="D112" s="208" t="s">
        <v>171</v>
      </c>
      <c r="E112" s="208" t="s">
        <v>897</v>
      </c>
      <c r="F112" s="212"/>
      <c r="G112" s="212"/>
    </row>
    <row r="113" spans="1:7" s="213" customFormat="1" ht="14.25" customHeight="1" x14ac:dyDescent="0.25">
      <c r="A113" s="212"/>
      <c r="B113" s="221" t="s">
        <v>725</v>
      </c>
      <c r="C113" s="208" t="s">
        <v>173</v>
      </c>
      <c r="D113" s="208" t="s">
        <v>174</v>
      </c>
      <c r="E113" s="208" t="s">
        <v>898</v>
      </c>
      <c r="F113" s="212"/>
      <c r="G113" s="212"/>
    </row>
    <row r="114" spans="1:7" s="213" customFormat="1" ht="14.25" customHeight="1" x14ac:dyDescent="0.25">
      <c r="A114" s="212"/>
      <c r="C114" s="208"/>
      <c r="D114" s="208"/>
      <c r="E114" s="208"/>
      <c r="F114" s="212"/>
      <c r="G114" s="212"/>
    </row>
    <row r="115" spans="1:7" s="213" customFormat="1" ht="14.25" customHeight="1" x14ac:dyDescent="0.25">
      <c r="A115" s="212"/>
      <c r="B115" s="221" t="s">
        <v>726</v>
      </c>
      <c r="C115" s="208" t="s">
        <v>183</v>
      </c>
      <c r="D115" s="208" t="s">
        <v>184</v>
      </c>
      <c r="E115" s="283" t="s">
        <v>1031</v>
      </c>
      <c r="F115" s="212"/>
      <c r="G115" s="212"/>
    </row>
    <row r="116" spans="1:7" s="213" customFormat="1" ht="14.25" customHeight="1" x14ac:dyDescent="0.25">
      <c r="A116" s="212"/>
      <c r="B116" s="221" t="s">
        <v>727</v>
      </c>
      <c r="C116" s="208" t="s">
        <v>186</v>
      </c>
      <c r="D116" s="283" t="s">
        <v>1014</v>
      </c>
      <c r="E116" s="279" t="s">
        <v>900</v>
      </c>
      <c r="F116" s="212"/>
      <c r="G116" s="212"/>
    </row>
    <row r="117" spans="1:7" s="213" customFormat="1" ht="14.25" customHeight="1" x14ac:dyDescent="0.25">
      <c r="A117" s="212"/>
      <c r="B117" s="221" t="s">
        <v>728</v>
      </c>
      <c r="C117" s="248" t="s">
        <v>798</v>
      </c>
      <c r="D117" s="248" t="s">
        <v>799</v>
      </c>
      <c r="E117" s="248" t="s">
        <v>800</v>
      </c>
      <c r="F117" s="212"/>
      <c r="G117" s="212"/>
    </row>
    <row r="118" spans="1:7" s="213" customFormat="1" ht="14.25" customHeight="1" x14ac:dyDescent="0.25">
      <c r="A118" s="212"/>
      <c r="B118" s="221" t="s">
        <v>1144</v>
      </c>
      <c r="C118" s="208" t="s">
        <v>189</v>
      </c>
      <c r="D118" s="208" t="s">
        <v>190</v>
      </c>
      <c r="E118" s="208" t="s">
        <v>191</v>
      </c>
      <c r="F118" s="212"/>
      <c r="G118" s="212"/>
    </row>
    <row r="119" spans="1:7" s="213" customFormat="1" ht="14.25" customHeight="1" x14ac:dyDescent="0.25">
      <c r="A119" s="212"/>
      <c r="B119" s="221" t="s">
        <v>1145</v>
      </c>
      <c r="C119" s="208" t="s">
        <v>193</v>
      </c>
      <c r="D119" s="208" t="s">
        <v>194</v>
      </c>
      <c r="E119" s="208" t="s">
        <v>195</v>
      </c>
      <c r="F119" s="212"/>
      <c r="G119" s="212"/>
    </row>
    <row r="120" spans="1:7" s="213" customFormat="1" ht="14.25" customHeight="1" x14ac:dyDescent="0.25">
      <c r="A120" s="212"/>
      <c r="B120" s="221" t="s">
        <v>1146</v>
      </c>
      <c r="C120" s="208" t="s">
        <v>197</v>
      </c>
      <c r="D120" s="208" t="s">
        <v>198</v>
      </c>
      <c r="E120" s="208" t="s">
        <v>199</v>
      </c>
      <c r="F120" s="212"/>
      <c r="G120" s="212"/>
    </row>
    <row r="121" spans="1:7" s="213" customFormat="1" ht="14.25" customHeight="1" x14ac:dyDescent="0.25">
      <c r="A121" s="212"/>
      <c r="B121" s="371" t="s">
        <v>1147</v>
      </c>
      <c r="C121" s="208" t="s">
        <v>201</v>
      </c>
      <c r="D121" s="208" t="s">
        <v>203</v>
      </c>
      <c r="E121" s="208" t="s">
        <v>204</v>
      </c>
      <c r="F121" s="212"/>
      <c r="G121" s="212"/>
    </row>
    <row r="122" spans="1:7" s="213" customFormat="1" ht="14.25" customHeight="1" x14ac:dyDescent="0.25">
      <c r="A122" s="212"/>
      <c r="B122" s="371" t="s">
        <v>1148</v>
      </c>
      <c r="C122" s="208" t="s">
        <v>206</v>
      </c>
      <c r="D122" s="208" t="s">
        <v>207</v>
      </c>
      <c r="E122" s="208" t="s">
        <v>208</v>
      </c>
      <c r="F122" s="212"/>
      <c r="G122" s="212"/>
    </row>
    <row r="123" spans="1:7" s="213" customFormat="1" ht="14.25" customHeight="1" x14ac:dyDescent="0.25">
      <c r="A123" s="212"/>
      <c r="B123" s="221" t="s">
        <v>1149</v>
      </c>
      <c r="C123" s="208" t="s">
        <v>210</v>
      </c>
      <c r="D123" s="283" t="s">
        <v>1015</v>
      </c>
      <c r="E123" s="208" t="s">
        <v>211</v>
      </c>
      <c r="F123" s="212"/>
      <c r="G123" s="212"/>
    </row>
    <row r="124" spans="1:7" s="213" customFormat="1" ht="14.25" customHeight="1" x14ac:dyDescent="0.25">
      <c r="A124" s="212"/>
      <c r="C124" s="208"/>
      <c r="D124" s="208"/>
      <c r="E124" s="208"/>
      <c r="F124" s="212"/>
      <c r="G124" s="212"/>
    </row>
    <row r="125" spans="1:7" s="213" customFormat="1" ht="14.25" customHeight="1" x14ac:dyDescent="0.25">
      <c r="A125" s="212"/>
      <c r="B125" s="221" t="s">
        <v>1150</v>
      </c>
      <c r="C125" s="208" t="s">
        <v>213</v>
      </c>
      <c r="D125" s="208" t="s">
        <v>214</v>
      </c>
      <c r="E125" s="208" t="s">
        <v>215</v>
      </c>
      <c r="F125" s="212"/>
      <c r="G125" s="212"/>
    </row>
    <row r="126" spans="1:7" s="213" customFormat="1" ht="14.25" customHeight="1" x14ac:dyDescent="0.25">
      <c r="A126" s="212"/>
      <c r="B126" s="371" t="s">
        <v>1151</v>
      </c>
      <c r="C126" s="208" t="s">
        <v>217</v>
      </c>
      <c r="D126" s="208" t="s">
        <v>218</v>
      </c>
      <c r="E126" s="208" t="s">
        <v>219</v>
      </c>
      <c r="F126" s="212"/>
      <c r="G126" s="212"/>
    </row>
    <row r="127" spans="1:7" s="213" customFormat="1" ht="14.25" customHeight="1" x14ac:dyDescent="0.25">
      <c r="A127" s="212"/>
      <c r="B127" s="371" t="s">
        <v>1152</v>
      </c>
      <c r="C127" s="208" t="s">
        <v>221</v>
      </c>
      <c r="D127" s="208" t="s">
        <v>222</v>
      </c>
      <c r="E127" s="208" t="s">
        <v>901</v>
      </c>
      <c r="F127" s="212"/>
      <c r="G127" s="212"/>
    </row>
    <row r="128" spans="1:7" s="213" customFormat="1" ht="14.25" customHeight="1" x14ac:dyDescent="0.25">
      <c r="A128" s="212"/>
      <c r="B128" s="221" t="s">
        <v>1153</v>
      </c>
      <c r="C128" s="208" t="s">
        <v>224</v>
      </c>
      <c r="D128" s="208" t="s">
        <v>225</v>
      </c>
      <c r="E128" s="208" t="s">
        <v>226</v>
      </c>
      <c r="F128" s="212"/>
      <c r="G128" s="212"/>
    </row>
    <row r="129" spans="1:7" s="213" customFormat="1" ht="14.25" customHeight="1" x14ac:dyDescent="0.25">
      <c r="A129" s="212"/>
      <c r="C129" s="208"/>
      <c r="D129" s="208"/>
      <c r="E129" s="208"/>
      <c r="F129" s="212"/>
      <c r="G129" s="212"/>
    </row>
    <row r="130" spans="1:7" s="213" customFormat="1" ht="14.25" customHeight="1" x14ac:dyDescent="0.25">
      <c r="A130" s="212"/>
      <c r="B130" s="221" t="s">
        <v>1154</v>
      </c>
      <c r="C130" s="208" t="s">
        <v>228</v>
      </c>
      <c r="D130" s="208" t="s">
        <v>229</v>
      </c>
      <c r="E130" s="208" t="s">
        <v>230</v>
      </c>
      <c r="F130" s="212"/>
      <c r="G130" s="212"/>
    </row>
    <row r="131" spans="1:7" s="213" customFormat="1" ht="14.25" customHeight="1" x14ac:dyDescent="0.25">
      <c r="A131" s="212"/>
      <c r="B131" s="221" t="s">
        <v>1155</v>
      </c>
      <c r="C131" s="208" t="s">
        <v>232</v>
      </c>
      <c r="D131" s="208" t="s">
        <v>233</v>
      </c>
      <c r="E131" s="208" t="s">
        <v>234</v>
      </c>
      <c r="F131" s="212"/>
      <c r="G131" s="212"/>
    </row>
    <row r="132" spans="1:7" s="213" customFormat="1" ht="14.25" customHeight="1" x14ac:dyDescent="0.25">
      <c r="A132" s="212"/>
      <c r="B132" s="221" t="s">
        <v>1156</v>
      </c>
      <c r="C132" s="272" t="s">
        <v>843</v>
      </c>
      <c r="D132" s="272" t="s">
        <v>845</v>
      </c>
      <c r="E132" s="272" t="s">
        <v>847</v>
      </c>
      <c r="F132" s="212"/>
      <c r="G132" s="212"/>
    </row>
    <row r="133" spans="1:7" s="213" customFormat="1" ht="14.25" customHeight="1" x14ac:dyDescent="0.25">
      <c r="A133" s="212"/>
      <c r="B133" s="221" t="s">
        <v>1157</v>
      </c>
      <c r="C133" s="272" t="s">
        <v>844</v>
      </c>
      <c r="D133" s="272" t="s">
        <v>846</v>
      </c>
      <c r="E133" s="272" t="s">
        <v>848</v>
      </c>
      <c r="F133" s="212"/>
      <c r="G133" s="212"/>
    </row>
    <row r="134" spans="1:7" s="213" customFormat="1" ht="14.25" customHeight="1" x14ac:dyDescent="0.25">
      <c r="A134" s="212"/>
      <c r="B134" s="371" t="s">
        <v>1158</v>
      </c>
      <c r="C134" s="208" t="s">
        <v>238</v>
      </c>
      <c r="D134" s="208" t="s">
        <v>239</v>
      </c>
      <c r="E134" s="208" t="s">
        <v>240</v>
      </c>
      <c r="F134" s="212"/>
      <c r="G134" s="212"/>
    </row>
    <row r="135" spans="1:7" s="213" customFormat="1" ht="14.25" customHeight="1" x14ac:dyDescent="0.25">
      <c r="A135" s="212"/>
      <c r="B135" s="371" t="s">
        <v>1159</v>
      </c>
      <c r="C135" s="272" t="s">
        <v>843</v>
      </c>
      <c r="D135" s="272" t="s">
        <v>845</v>
      </c>
      <c r="E135" s="272" t="s">
        <v>847</v>
      </c>
      <c r="F135" s="212"/>
      <c r="G135" s="212"/>
    </row>
    <row r="136" spans="1:7" s="213" customFormat="1" ht="14.25" customHeight="1" x14ac:dyDescent="0.25">
      <c r="A136" s="212"/>
      <c r="B136" s="221" t="s">
        <v>1160</v>
      </c>
      <c r="C136" s="272" t="s">
        <v>844</v>
      </c>
      <c r="D136" s="272" t="s">
        <v>846</v>
      </c>
      <c r="E136" s="272" t="s">
        <v>848</v>
      </c>
      <c r="F136" s="212"/>
      <c r="G136" s="212"/>
    </row>
    <row r="137" spans="1:7" s="213" customFormat="1" ht="14.25" customHeight="1" x14ac:dyDescent="0.25">
      <c r="A137" s="212"/>
      <c r="C137" s="208"/>
      <c r="D137" s="208"/>
      <c r="E137" s="208"/>
      <c r="F137" s="212"/>
      <c r="G137" s="212"/>
    </row>
    <row r="138" spans="1:7" s="213" customFormat="1" ht="14.25" customHeight="1" x14ac:dyDescent="0.25">
      <c r="A138" s="212"/>
      <c r="B138" s="221" t="s">
        <v>1161</v>
      </c>
      <c r="C138" s="208" t="s">
        <v>244</v>
      </c>
      <c r="D138" s="208" t="s">
        <v>245</v>
      </c>
      <c r="E138" s="283" t="s">
        <v>1032</v>
      </c>
      <c r="F138" s="212"/>
      <c r="G138" s="212"/>
    </row>
    <row r="139" spans="1:7" s="213" customFormat="1" ht="14.25" customHeight="1" x14ac:dyDescent="0.25">
      <c r="A139" s="212"/>
      <c r="B139" s="371" t="s">
        <v>1162</v>
      </c>
      <c r="C139" s="208" t="s">
        <v>247</v>
      </c>
      <c r="D139" s="208" t="s">
        <v>248</v>
      </c>
      <c r="E139" s="208" t="s">
        <v>249</v>
      </c>
      <c r="F139" s="212"/>
      <c r="G139" s="212"/>
    </row>
    <row r="140" spans="1:7" s="213" customFormat="1" ht="14.25" customHeight="1" x14ac:dyDescent="0.25">
      <c r="A140" s="212"/>
      <c r="B140" s="371" t="s">
        <v>1163</v>
      </c>
      <c r="C140" s="279" t="s">
        <v>865</v>
      </c>
      <c r="D140" s="280" t="s">
        <v>894</v>
      </c>
      <c r="E140" s="208" t="s">
        <v>1003</v>
      </c>
      <c r="F140" s="212"/>
      <c r="G140" s="212"/>
    </row>
    <row r="141" spans="1:7" s="213" customFormat="1" ht="14.25" customHeight="1" x14ac:dyDescent="0.25">
      <c r="A141" s="212"/>
      <c r="B141" s="221" t="s">
        <v>1164</v>
      </c>
      <c r="C141" s="208" t="s">
        <v>251</v>
      </c>
      <c r="D141" s="208" t="s">
        <v>252</v>
      </c>
      <c r="E141" s="208" t="s">
        <v>253</v>
      </c>
      <c r="F141" s="212"/>
      <c r="G141" s="212"/>
    </row>
    <row r="142" spans="1:7" s="213" customFormat="1" ht="14.25" customHeight="1" x14ac:dyDescent="0.25">
      <c r="A142" s="212"/>
      <c r="C142" s="208"/>
      <c r="D142" s="208"/>
      <c r="E142" s="208"/>
      <c r="F142" s="212"/>
      <c r="G142" s="212"/>
    </row>
    <row r="143" spans="1:7" s="213" customFormat="1" ht="14.25" customHeight="1" x14ac:dyDescent="0.25">
      <c r="A143" s="212"/>
      <c r="B143" s="221" t="s">
        <v>1165</v>
      </c>
      <c r="C143" s="208" t="s">
        <v>256</v>
      </c>
      <c r="D143" s="283" t="s">
        <v>1024</v>
      </c>
      <c r="E143" s="208" t="s">
        <v>257</v>
      </c>
      <c r="F143" s="212"/>
      <c r="G143" s="212"/>
    </row>
    <row r="144" spans="1:7" s="213" customFormat="1" ht="14.25" customHeight="1" x14ac:dyDescent="0.25">
      <c r="A144" s="212"/>
      <c r="B144" s="221" t="s">
        <v>1166</v>
      </c>
      <c r="C144" s="208" t="s">
        <v>124</v>
      </c>
      <c r="D144" s="283" t="s">
        <v>1028</v>
      </c>
      <c r="E144" s="283" t="s">
        <v>1033</v>
      </c>
      <c r="F144" s="212"/>
      <c r="G144" s="212"/>
    </row>
    <row r="145" spans="1:7" s="213" customFormat="1" ht="14.25" customHeight="1" x14ac:dyDescent="0.25">
      <c r="A145" s="212"/>
      <c r="B145" s="221" t="s">
        <v>1167</v>
      </c>
      <c r="C145" s="208" t="s">
        <v>125</v>
      </c>
      <c r="D145" s="208" t="s">
        <v>260</v>
      </c>
      <c r="E145" s="208" t="s">
        <v>261</v>
      </c>
      <c r="F145" s="212"/>
      <c r="G145" s="212"/>
    </row>
    <row r="146" spans="1:7" s="213" customFormat="1" ht="14.25" customHeight="1" x14ac:dyDescent="0.25">
      <c r="A146" s="212"/>
      <c r="B146" s="221" t="s">
        <v>1168</v>
      </c>
      <c r="C146" s="208" t="s">
        <v>126</v>
      </c>
      <c r="D146" s="208" t="s">
        <v>263</v>
      </c>
      <c r="E146" s="283" t="s">
        <v>1040</v>
      </c>
      <c r="F146" s="212"/>
      <c r="G146" s="212"/>
    </row>
    <row r="147" spans="1:7" s="213" customFormat="1" ht="14.25" customHeight="1" x14ac:dyDescent="0.25">
      <c r="A147" s="212"/>
      <c r="B147" s="221" t="s">
        <v>1169</v>
      </c>
      <c r="C147" s="279" t="s">
        <v>902</v>
      </c>
      <c r="D147" s="208" t="s">
        <v>266</v>
      </c>
      <c r="E147" s="279" t="s">
        <v>903</v>
      </c>
      <c r="F147" s="212"/>
      <c r="G147" s="212"/>
    </row>
    <row r="148" spans="1:7" s="213" customFormat="1" ht="14.25" customHeight="1" x14ac:dyDescent="0.25">
      <c r="A148" s="212"/>
      <c r="B148" s="371" t="s">
        <v>1170</v>
      </c>
      <c r="C148" s="208" t="s">
        <v>128</v>
      </c>
      <c r="D148" s="208" t="s">
        <v>269</v>
      </c>
      <c r="E148" s="208" t="s">
        <v>270</v>
      </c>
      <c r="F148" s="212"/>
      <c r="G148" s="212"/>
    </row>
    <row r="149" spans="1:7" s="213" customFormat="1" ht="14.25" customHeight="1" x14ac:dyDescent="0.25">
      <c r="A149" s="212"/>
      <c r="B149" s="371" t="s">
        <v>1171</v>
      </c>
      <c r="C149" s="208" t="s">
        <v>129</v>
      </c>
      <c r="D149" s="208" t="s">
        <v>272</v>
      </c>
      <c r="E149" s="208" t="s">
        <v>273</v>
      </c>
      <c r="F149" s="212"/>
      <c r="G149" s="212"/>
    </row>
    <row r="150" spans="1:7" s="213" customFormat="1" ht="14.25" customHeight="1" x14ac:dyDescent="0.25">
      <c r="A150" s="212"/>
      <c r="B150" s="221" t="s">
        <v>1172</v>
      </c>
      <c r="C150" s="208" t="s">
        <v>130</v>
      </c>
      <c r="D150" s="208" t="s">
        <v>275</v>
      </c>
      <c r="E150" s="208" t="s">
        <v>276</v>
      </c>
      <c r="F150" s="212"/>
      <c r="G150" s="212"/>
    </row>
    <row r="151" spans="1:7" s="213" customFormat="1" ht="14.25" customHeight="1" x14ac:dyDescent="0.25">
      <c r="A151" s="212"/>
      <c r="C151" s="208"/>
      <c r="D151" s="208"/>
      <c r="E151" s="208"/>
      <c r="F151" s="212"/>
      <c r="G151" s="212"/>
    </row>
    <row r="152" spans="1:7" s="213" customFormat="1" ht="14.25" customHeight="1" x14ac:dyDescent="0.25">
      <c r="A152" s="212"/>
      <c r="B152" s="221" t="s">
        <v>1173</v>
      </c>
      <c r="C152" s="279" t="s">
        <v>907</v>
      </c>
      <c r="D152" s="283" t="s">
        <v>908</v>
      </c>
      <c r="E152" s="208" t="s">
        <v>279</v>
      </c>
      <c r="F152" s="212"/>
      <c r="G152" s="212"/>
    </row>
    <row r="153" spans="1:7" s="213" customFormat="1" ht="14.25" customHeight="1" x14ac:dyDescent="0.25">
      <c r="A153" s="212"/>
      <c r="B153" s="371" t="s">
        <v>1174</v>
      </c>
      <c r="C153" s="226" t="s">
        <v>677</v>
      </c>
      <c r="D153" s="261" t="s">
        <v>51</v>
      </c>
      <c r="E153" s="208" t="s">
        <v>17</v>
      </c>
      <c r="F153" s="212"/>
      <c r="G153" s="212"/>
    </row>
    <row r="154" spans="1:7" s="213" customFormat="1" ht="14.25" customHeight="1" x14ac:dyDescent="0.25">
      <c r="A154" s="212"/>
      <c r="B154" s="371" t="s">
        <v>1175</v>
      </c>
      <c r="C154" s="208" t="s">
        <v>16</v>
      </c>
      <c r="D154" s="261" t="s">
        <v>16</v>
      </c>
      <c r="E154" s="208" t="s">
        <v>18</v>
      </c>
      <c r="F154" s="212"/>
      <c r="G154" s="212"/>
    </row>
    <row r="155" spans="1:7" s="213" customFormat="1" ht="14.25" customHeight="1" x14ac:dyDescent="0.25">
      <c r="A155" s="212"/>
      <c r="B155" s="221" t="s">
        <v>1176</v>
      </c>
      <c r="C155" s="208" t="s">
        <v>283</v>
      </c>
      <c r="D155" s="208" t="s">
        <v>284</v>
      </c>
      <c r="E155" s="208" t="s">
        <v>285</v>
      </c>
      <c r="F155" s="212"/>
      <c r="G155" s="212"/>
    </row>
    <row r="156" spans="1:7" s="213" customFormat="1" ht="14.25" customHeight="1" x14ac:dyDescent="0.25">
      <c r="A156" s="212"/>
      <c r="C156" s="208"/>
      <c r="D156" s="208"/>
      <c r="E156" s="208"/>
      <c r="F156" s="212"/>
      <c r="G156" s="212"/>
    </row>
    <row r="157" spans="1:7" s="213" customFormat="1" ht="14.25" customHeight="1" x14ac:dyDescent="0.25">
      <c r="A157" s="212"/>
      <c r="B157" s="221" t="s">
        <v>1177</v>
      </c>
      <c r="C157" s="283" t="s">
        <v>1007</v>
      </c>
      <c r="D157" s="283" t="s">
        <v>1008</v>
      </c>
      <c r="E157" s="208" t="s">
        <v>287</v>
      </c>
      <c r="F157" s="212"/>
      <c r="G157" s="212"/>
    </row>
    <row r="158" spans="1:7" s="213" customFormat="1" ht="14.25" customHeight="1" x14ac:dyDescent="0.25">
      <c r="A158" s="212"/>
      <c r="B158" s="371" t="s">
        <v>1178</v>
      </c>
      <c r="C158" s="272" t="s">
        <v>849</v>
      </c>
      <c r="D158" s="261" t="s">
        <v>849</v>
      </c>
      <c r="E158" s="283" t="s">
        <v>1041</v>
      </c>
      <c r="F158" s="212"/>
      <c r="G158" s="212"/>
    </row>
    <row r="159" spans="1:7" s="213" customFormat="1" ht="14.25" customHeight="1" x14ac:dyDescent="0.25">
      <c r="A159" s="212"/>
      <c r="B159" s="371" t="s">
        <v>1179</v>
      </c>
      <c r="C159" s="272" t="s">
        <v>850</v>
      </c>
      <c r="D159" s="261" t="s">
        <v>1016</v>
      </c>
      <c r="E159" s="283" t="s">
        <v>1042</v>
      </c>
      <c r="F159" s="212"/>
      <c r="G159" s="212"/>
    </row>
    <row r="160" spans="1:7" s="213" customFormat="1" ht="14.25" customHeight="1" x14ac:dyDescent="0.25">
      <c r="A160" s="212"/>
      <c r="B160" s="371" t="s">
        <v>1180</v>
      </c>
      <c r="C160" s="272" t="s">
        <v>851</v>
      </c>
      <c r="D160" s="283" t="s">
        <v>1017</v>
      </c>
      <c r="E160" s="283" t="s">
        <v>1043</v>
      </c>
      <c r="F160" s="212"/>
      <c r="G160" s="212"/>
    </row>
    <row r="161" spans="1:7" s="213" customFormat="1" ht="14.25" customHeight="1" x14ac:dyDescent="0.25">
      <c r="A161" s="212"/>
      <c r="C161" s="208"/>
      <c r="D161" s="208"/>
      <c r="E161" s="208"/>
      <c r="F161" s="212"/>
      <c r="G161" s="212"/>
    </row>
    <row r="162" spans="1:7" s="213" customFormat="1" ht="14.25" customHeight="1" x14ac:dyDescent="0.25">
      <c r="A162" s="212"/>
      <c r="B162" s="371" t="s">
        <v>1181</v>
      </c>
      <c r="C162" s="208" t="s">
        <v>132</v>
      </c>
      <c r="D162" s="208" t="s">
        <v>292</v>
      </c>
      <c r="E162" s="208" t="s">
        <v>293</v>
      </c>
      <c r="F162" s="212"/>
      <c r="G162" s="212"/>
    </row>
    <row r="163" spans="1:7" s="213" customFormat="1" ht="14.25" customHeight="1" x14ac:dyDescent="0.25">
      <c r="A163" s="212"/>
      <c r="B163" s="371" t="s">
        <v>1182</v>
      </c>
      <c r="C163" s="208" t="s">
        <v>295</v>
      </c>
      <c r="D163" s="260" t="s">
        <v>839</v>
      </c>
      <c r="E163" s="208" t="s">
        <v>296</v>
      </c>
      <c r="F163" s="212"/>
      <c r="G163" s="212"/>
    </row>
    <row r="164" spans="1:7" s="213" customFormat="1" ht="14.25" customHeight="1" x14ac:dyDescent="0.25">
      <c r="A164" s="212"/>
      <c r="B164" s="221" t="s">
        <v>1183</v>
      </c>
      <c r="C164" s="279" t="s">
        <v>916</v>
      </c>
      <c r="D164" s="208" t="s">
        <v>918</v>
      </c>
      <c r="E164" s="208" t="s">
        <v>917</v>
      </c>
      <c r="F164" s="212"/>
      <c r="G164" s="212"/>
    </row>
    <row r="165" spans="1:7" s="213" customFormat="1" ht="14.25" customHeight="1" x14ac:dyDescent="0.25">
      <c r="A165" s="212"/>
      <c r="C165" s="208"/>
      <c r="D165" s="208"/>
      <c r="E165" s="208"/>
      <c r="F165" s="212"/>
      <c r="G165" s="212"/>
    </row>
    <row r="166" spans="1:7" s="213" customFormat="1" ht="14.25" customHeight="1" x14ac:dyDescent="0.25">
      <c r="A166" s="212"/>
      <c r="B166" s="221" t="s">
        <v>1184</v>
      </c>
      <c r="C166" s="208" t="s">
        <v>133</v>
      </c>
      <c r="D166" s="208" t="s">
        <v>855</v>
      </c>
      <c r="E166" s="208" t="s">
        <v>299</v>
      </c>
      <c r="F166" s="212"/>
      <c r="G166" s="212"/>
    </row>
    <row r="167" spans="1:7" s="213" customFormat="1" ht="14.25" customHeight="1" x14ac:dyDescent="0.25">
      <c r="A167" s="212"/>
      <c r="B167" s="221" t="s">
        <v>1185</v>
      </c>
      <c r="C167" s="208" t="s">
        <v>301</v>
      </c>
      <c r="D167" s="208" t="s">
        <v>302</v>
      </c>
      <c r="E167" s="208" t="s">
        <v>303</v>
      </c>
      <c r="F167" s="212"/>
      <c r="G167" s="212"/>
    </row>
    <row r="168" spans="1:7" s="213" customFormat="1" ht="14.25" customHeight="1" x14ac:dyDescent="0.25">
      <c r="A168" s="212"/>
      <c r="B168" s="221" t="s">
        <v>1186</v>
      </c>
      <c r="C168" s="272" t="s">
        <v>852</v>
      </c>
      <c r="D168" s="283" t="s">
        <v>1018</v>
      </c>
      <c r="E168" s="283" t="s">
        <v>1044</v>
      </c>
      <c r="F168" s="212"/>
      <c r="G168" s="212"/>
    </row>
    <row r="169" spans="1:7" s="213" customFormat="1" ht="14.25" customHeight="1" x14ac:dyDescent="0.25">
      <c r="A169" s="212"/>
      <c r="B169" s="221" t="s">
        <v>1187</v>
      </c>
      <c r="C169" s="272" t="s">
        <v>853</v>
      </c>
      <c r="D169" s="283" t="s">
        <v>1019</v>
      </c>
      <c r="E169" s="283" t="s">
        <v>1045</v>
      </c>
      <c r="F169" s="212"/>
      <c r="G169" s="212"/>
    </row>
    <row r="170" spans="1:7" s="213" customFormat="1" ht="14.25" customHeight="1" x14ac:dyDescent="0.25">
      <c r="A170" s="212"/>
      <c r="B170" s="371" t="s">
        <v>1188</v>
      </c>
      <c r="C170" s="272" t="s">
        <v>854</v>
      </c>
      <c r="D170" s="283" t="s">
        <v>1030</v>
      </c>
      <c r="E170" s="283" t="s">
        <v>1046</v>
      </c>
      <c r="F170" s="212"/>
      <c r="G170" s="212"/>
    </row>
    <row r="171" spans="1:7" s="213" customFormat="1" ht="14.25" customHeight="1" x14ac:dyDescent="0.25">
      <c r="A171" s="212"/>
      <c r="B171" s="371" t="s">
        <v>1189</v>
      </c>
      <c r="C171" s="279" t="s">
        <v>926</v>
      </c>
      <c r="D171" s="279" t="s">
        <v>927</v>
      </c>
      <c r="E171" s="279" t="s">
        <v>928</v>
      </c>
      <c r="F171" s="212"/>
      <c r="G171" s="212"/>
    </row>
    <row r="172" spans="1:7" s="213" customFormat="1" ht="14.25" customHeight="1" x14ac:dyDescent="0.25">
      <c r="A172" s="212"/>
      <c r="B172" s="371" t="s">
        <v>1190</v>
      </c>
      <c r="C172" s="208" t="s">
        <v>308</v>
      </c>
      <c r="D172" s="260" t="s">
        <v>840</v>
      </c>
      <c r="E172" s="208" t="s">
        <v>309</v>
      </c>
      <c r="F172" s="212"/>
      <c r="G172" s="212"/>
    </row>
    <row r="173" spans="1:7" s="213" customFormat="1" ht="14.25" customHeight="1" x14ac:dyDescent="0.25">
      <c r="A173" s="212"/>
      <c r="B173" s="225"/>
      <c r="C173" s="208"/>
      <c r="D173" s="260"/>
      <c r="E173" s="208"/>
      <c r="F173" s="212"/>
      <c r="G173" s="212"/>
    </row>
    <row r="174" spans="1:7" s="213" customFormat="1" ht="14.25" customHeight="1" x14ac:dyDescent="0.25">
      <c r="A174" s="212"/>
      <c r="B174" s="371" t="s">
        <v>1191</v>
      </c>
      <c r="C174" s="208" t="s">
        <v>357</v>
      </c>
      <c r="D174" s="208" t="s">
        <v>358</v>
      </c>
      <c r="E174" s="208" t="s">
        <v>359</v>
      </c>
      <c r="F174" s="212"/>
      <c r="G174" s="212"/>
    </row>
    <row r="175" spans="1:7" s="213" customFormat="1" ht="14.25" customHeight="1" x14ac:dyDescent="0.25">
      <c r="A175" s="212"/>
      <c r="C175" s="208"/>
      <c r="D175" s="208"/>
      <c r="E175" s="208"/>
      <c r="F175" s="212"/>
      <c r="G175" s="212"/>
    </row>
    <row r="176" spans="1:7" s="213" customFormat="1" ht="14.25" customHeight="1" x14ac:dyDescent="0.25">
      <c r="A176" s="212"/>
      <c r="B176" s="371" t="s">
        <v>1192</v>
      </c>
      <c r="C176" s="208" t="s">
        <v>136</v>
      </c>
      <c r="D176" s="208" t="s">
        <v>361</v>
      </c>
      <c r="E176" s="208" t="s">
        <v>362</v>
      </c>
      <c r="F176" s="212"/>
      <c r="G176" s="212"/>
    </row>
    <row r="177" spans="1:7" s="213" customFormat="1" ht="14.25" customHeight="1" x14ac:dyDescent="0.25">
      <c r="A177" s="212"/>
      <c r="C177" s="208"/>
      <c r="D177" s="208"/>
      <c r="E177" s="208"/>
      <c r="F177" s="212"/>
      <c r="G177" s="212"/>
    </row>
    <row r="178" spans="1:7" s="213" customFormat="1" ht="14.25" customHeight="1" x14ac:dyDescent="0.25">
      <c r="A178" s="212"/>
      <c r="B178" s="371" t="s">
        <v>1193</v>
      </c>
      <c r="C178" s="208" t="s">
        <v>311</v>
      </c>
      <c r="D178" s="208" t="s">
        <v>312</v>
      </c>
      <c r="E178" s="283" t="s">
        <v>1034</v>
      </c>
      <c r="F178" s="212"/>
      <c r="G178" s="212"/>
    </row>
    <row r="179" spans="1:7" s="213" customFormat="1" ht="14.25" customHeight="1" x14ac:dyDescent="0.25">
      <c r="A179" s="212"/>
      <c r="B179" s="371" t="s">
        <v>1194</v>
      </c>
      <c r="C179" s="208" t="s">
        <v>134</v>
      </c>
      <c r="D179" s="208" t="s">
        <v>314</v>
      </c>
      <c r="E179" s="208" t="s">
        <v>315</v>
      </c>
      <c r="F179" s="212"/>
      <c r="G179" s="212"/>
    </row>
    <row r="180" spans="1:7" s="213" customFormat="1" ht="14.25" customHeight="1" x14ac:dyDescent="0.25">
      <c r="A180" s="212"/>
      <c r="C180" s="208"/>
      <c r="D180" s="208"/>
      <c r="E180" s="208"/>
      <c r="F180" s="212"/>
      <c r="G180" s="212"/>
    </row>
    <row r="181" spans="1:7" s="213" customFormat="1" ht="14.25" customHeight="1" x14ac:dyDescent="0.25">
      <c r="A181" s="212"/>
      <c r="B181" s="221" t="s">
        <v>1195</v>
      </c>
      <c r="C181" s="208" t="s">
        <v>135</v>
      </c>
      <c r="D181" s="208" t="s">
        <v>317</v>
      </c>
      <c r="E181" s="208" t="s">
        <v>318</v>
      </c>
      <c r="F181" s="212"/>
      <c r="G181" s="212"/>
    </row>
    <row r="182" spans="1:7" s="213" customFormat="1" ht="14.25" customHeight="1" x14ac:dyDescent="0.25">
      <c r="A182" s="212"/>
      <c r="B182" s="221" t="s">
        <v>1196</v>
      </c>
      <c r="C182" s="208" t="s">
        <v>69</v>
      </c>
      <c r="D182" s="208" t="s">
        <v>320</v>
      </c>
      <c r="E182" s="245" t="s">
        <v>678</v>
      </c>
      <c r="F182" s="212"/>
      <c r="G182" s="212"/>
    </row>
    <row r="183" spans="1:7" s="213" customFormat="1" ht="14.25" customHeight="1" x14ac:dyDescent="0.25">
      <c r="A183" s="212"/>
      <c r="B183" s="221" t="s">
        <v>1197</v>
      </c>
      <c r="C183" s="208" t="s">
        <v>322</v>
      </c>
      <c r="D183" s="208" t="s">
        <v>323</v>
      </c>
      <c r="E183" s="208" t="s">
        <v>324</v>
      </c>
      <c r="F183" s="212"/>
      <c r="G183" s="212"/>
    </row>
    <row r="184" spans="1:7" s="213" customFormat="1" ht="14.25" customHeight="1" x14ac:dyDescent="0.25">
      <c r="A184" s="212"/>
      <c r="B184" s="221" t="s">
        <v>1198</v>
      </c>
      <c r="C184" s="208" t="s">
        <v>68</v>
      </c>
      <c r="D184" s="208" t="s">
        <v>71</v>
      </c>
      <c r="E184" s="208" t="s">
        <v>120</v>
      </c>
      <c r="F184" s="212"/>
      <c r="G184" s="212"/>
    </row>
    <row r="185" spans="1:7" s="213" customFormat="1" ht="14.25" customHeight="1" x14ac:dyDescent="0.25">
      <c r="A185" s="212"/>
      <c r="B185" s="371" t="s">
        <v>1199</v>
      </c>
      <c r="C185" s="208" t="s">
        <v>247</v>
      </c>
      <c r="D185" s="208" t="s">
        <v>248</v>
      </c>
      <c r="E185" s="283" t="s">
        <v>1047</v>
      </c>
      <c r="F185" s="212"/>
      <c r="G185" s="212"/>
    </row>
    <row r="186" spans="1:7" s="213" customFormat="1" ht="14.25" customHeight="1" x14ac:dyDescent="0.25">
      <c r="A186" s="212"/>
      <c r="B186" s="371" t="s">
        <v>1200</v>
      </c>
      <c r="C186" s="208" t="s">
        <v>131</v>
      </c>
      <c r="D186" s="208" t="s">
        <v>278</v>
      </c>
      <c r="E186" s="208" t="s">
        <v>279</v>
      </c>
      <c r="F186" s="212"/>
      <c r="G186" s="212"/>
    </row>
    <row r="187" spans="1:7" s="213" customFormat="1" ht="14.25" customHeight="1" x14ac:dyDescent="0.25">
      <c r="A187" s="212"/>
      <c r="B187" s="371" t="s">
        <v>1201</v>
      </c>
      <c r="C187" s="208" t="s">
        <v>329</v>
      </c>
      <c r="D187" s="208" t="s">
        <v>330</v>
      </c>
      <c r="E187" s="208" t="s">
        <v>299</v>
      </c>
      <c r="F187" s="212"/>
      <c r="G187" s="212"/>
    </row>
    <row r="188" spans="1:7" s="213" customFormat="1" ht="14.25" customHeight="1" x14ac:dyDescent="0.25">
      <c r="A188" s="212"/>
      <c r="C188" s="208"/>
      <c r="D188" s="208"/>
      <c r="E188" s="208"/>
      <c r="F188" s="212"/>
      <c r="G188" s="212"/>
    </row>
    <row r="189" spans="1:7" s="213" customFormat="1" ht="14.25" customHeight="1" x14ac:dyDescent="0.25">
      <c r="A189" s="212"/>
      <c r="B189" s="371" t="s">
        <v>1202</v>
      </c>
      <c r="C189" s="208" t="s">
        <v>332</v>
      </c>
      <c r="D189" s="208" t="s">
        <v>333</v>
      </c>
      <c r="E189" s="208" t="s">
        <v>334</v>
      </c>
      <c r="F189" s="212"/>
      <c r="G189" s="212"/>
    </row>
    <row r="190" spans="1:7" s="213" customFormat="1" ht="14.25" customHeight="1" x14ac:dyDescent="0.25">
      <c r="A190" s="212"/>
      <c r="B190" s="371" t="s">
        <v>1203</v>
      </c>
      <c r="C190" s="208" t="s">
        <v>336</v>
      </c>
      <c r="D190" s="208" t="s">
        <v>337</v>
      </c>
      <c r="E190" s="208" t="s">
        <v>338</v>
      </c>
      <c r="F190" s="212"/>
      <c r="G190" s="212"/>
    </row>
    <row r="191" spans="1:7" s="213" customFormat="1" ht="14.25" customHeight="1" x14ac:dyDescent="0.25">
      <c r="A191" s="212"/>
      <c r="B191" s="371" t="s">
        <v>1204</v>
      </c>
      <c r="C191" s="208" t="s">
        <v>340</v>
      </c>
      <c r="D191" s="208" t="s">
        <v>341</v>
      </c>
      <c r="E191" s="208" t="s">
        <v>342</v>
      </c>
      <c r="F191" s="212"/>
      <c r="G191" s="212"/>
    </row>
    <row r="192" spans="1:7" s="213" customFormat="1" ht="14.25" customHeight="1" x14ac:dyDescent="0.25">
      <c r="A192" s="212"/>
      <c r="B192" s="371" t="s">
        <v>1205</v>
      </c>
      <c r="C192" s="208" t="s">
        <v>344</v>
      </c>
      <c r="D192" s="207" t="s">
        <v>345</v>
      </c>
      <c r="E192" s="208" t="s">
        <v>346</v>
      </c>
      <c r="F192" s="212"/>
      <c r="G192" s="212"/>
    </row>
    <row r="193" spans="1:7" s="213" customFormat="1" ht="14.25" customHeight="1" x14ac:dyDescent="0.25">
      <c r="A193" s="212"/>
      <c r="B193" s="371" t="s">
        <v>1206</v>
      </c>
      <c r="C193" s="208" t="s">
        <v>348</v>
      </c>
      <c r="D193" s="208" t="s">
        <v>349</v>
      </c>
      <c r="E193" s="208" t="s">
        <v>350</v>
      </c>
      <c r="F193" s="212"/>
      <c r="G193" s="212"/>
    </row>
    <row r="194" spans="1:7" s="213" customFormat="1" ht="14.25" customHeight="1" x14ac:dyDescent="0.25">
      <c r="A194" s="212"/>
      <c r="B194" s="371" t="s">
        <v>1207</v>
      </c>
      <c r="C194" s="208" t="s">
        <v>352</v>
      </c>
      <c r="D194" s="208" t="s">
        <v>353</v>
      </c>
      <c r="E194" s="208" t="s">
        <v>354</v>
      </c>
      <c r="F194" s="212"/>
      <c r="G194" s="212"/>
    </row>
    <row r="195" spans="1:7" s="213" customFormat="1" ht="14.25" customHeight="1" x14ac:dyDescent="0.25">
      <c r="A195" s="212"/>
      <c r="B195" s="371" t="s">
        <v>1208</v>
      </c>
      <c r="C195" s="208" t="s">
        <v>801</v>
      </c>
      <c r="D195" s="208" t="s">
        <v>803</v>
      </c>
      <c r="E195" s="208" t="s">
        <v>802</v>
      </c>
      <c r="F195" s="212"/>
      <c r="G195" s="212"/>
    </row>
    <row r="196" spans="1:7" s="213" customFormat="1" ht="14.25" customHeight="1" x14ac:dyDescent="0.25">
      <c r="A196" s="212"/>
      <c r="C196" s="208"/>
      <c r="D196" s="208"/>
      <c r="E196" s="208"/>
      <c r="F196" s="212"/>
      <c r="G196" s="212"/>
    </row>
    <row r="197" spans="1:7" s="213" customFormat="1" ht="14.25" customHeight="1" x14ac:dyDescent="0.25">
      <c r="A197" s="212"/>
      <c r="B197" s="371" t="s">
        <v>1209</v>
      </c>
      <c r="C197" s="208" t="s">
        <v>364</v>
      </c>
      <c r="D197" s="208" t="s">
        <v>365</v>
      </c>
      <c r="E197" s="208" t="s">
        <v>366</v>
      </c>
      <c r="F197" s="212"/>
      <c r="G197" s="212"/>
    </row>
    <row r="198" spans="1:7" s="213" customFormat="1" ht="14.25" customHeight="1" x14ac:dyDescent="0.25">
      <c r="A198" s="212"/>
      <c r="B198" s="221"/>
      <c r="C198" s="208"/>
      <c r="D198" s="208"/>
      <c r="E198" s="208"/>
      <c r="F198" s="212"/>
      <c r="G198" s="212"/>
    </row>
    <row r="199" spans="1:7" s="213" customFormat="1" ht="14.25" customHeight="1" x14ac:dyDescent="0.25">
      <c r="A199" s="212"/>
      <c r="B199" s="371" t="s">
        <v>1210</v>
      </c>
      <c r="C199" s="208" t="s">
        <v>368</v>
      </c>
      <c r="D199" s="208" t="s">
        <v>369</v>
      </c>
      <c r="E199" s="208" t="s">
        <v>370</v>
      </c>
      <c r="F199" s="212"/>
      <c r="G199" s="212"/>
    </row>
    <row r="200" spans="1:7" s="213" customFormat="1" ht="14.25" customHeight="1" x14ac:dyDescent="0.25">
      <c r="A200" s="212"/>
      <c r="B200" s="371" t="s">
        <v>1211</v>
      </c>
      <c r="C200" s="208" t="s">
        <v>372</v>
      </c>
      <c r="D200" s="208" t="s">
        <v>373</v>
      </c>
      <c r="E200" s="208" t="s">
        <v>374</v>
      </c>
      <c r="F200" s="212"/>
      <c r="G200" s="212"/>
    </row>
    <row r="201" spans="1:7" s="213" customFormat="1" ht="14.25" customHeight="1" x14ac:dyDescent="0.25">
      <c r="A201" s="212"/>
      <c r="B201" s="371" t="s">
        <v>1212</v>
      </c>
      <c r="C201" s="208" t="s">
        <v>376</v>
      </c>
      <c r="D201" s="208" t="s">
        <v>377</v>
      </c>
      <c r="E201" s="208" t="s">
        <v>378</v>
      </c>
      <c r="F201" s="212"/>
      <c r="G201" s="212"/>
    </row>
    <row r="202" spans="1:7" s="213" customFormat="1" ht="14.25" customHeight="1" x14ac:dyDescent="0.25">
      <c r="A202" s="212"/>
      <c r="B202" s="371" t="s">
        <v>1213</v>
      </c>
      <c r="C202" s="208" t="s">
        <v>380</v>
      </c>
      <c r="D202" s="208" t="s">
        <v>381</v>
      </c>
      <c r="E202" s="208" t="s">
        <v>382</v>
      </c>
      <c r="F202" s="212"/>
      <c r="G202" s="212"/>
    </row>
    <row r="203" spans="1:7" s="213" customFormat="1" ht="14.25" customHeight="1" x14ac:dyDescent="0.25">
      <c r="A203" s="212"/>
      <c r="B203" s="221"/>
      <c r="C203" s="208"/>
      <c r="D203" s="208"/>
      <c r="E203" s="208"/>
      <c r="F203" s="212"/>
      <c r="G203" s="212"/>
    </row>
    <row r="204" spans="1:7" s="213" customFormat="1" ht="14.25" customHeight="1" x14ac:dyDescent="0.25">
      <c r="A204" s="212"/>
      <c r="B204" s="371" t="s">
        <v>1214</v>
      </c>
      <c r="C204" s="208" t="s">
        <v>384</v>
      </c>
      <c r="D204" s="208" t="s">
        <v>385</v>
      </c>
      <c r="E204" s="208" t="s">
        <v>386</v>
      </c>
      <c r="F204" s="212"/>
      <c r="G204" s="212"/>
    </row>
    <row r="205" spans="1:7" s="213" customFormat="1" ht="14.25" customHeight="1" x14ac:dyDescent="0.25">
      <c r="A205" s="212"/>
      <c r="B205" s="221" t="s">
        <v>1215</v>
      </c>
      <c r="C205" s="208" t="s">
        <v>944</v>
      </c>
      <c r="D205" s="441" t="s">
        <v>1497</v>
      </c>
      <c r="E205" s="208" t="s">
        <v>952</v>
      </c>
      <c r="F205" s="212"/>
      <c r="G205" s="212"/>
    </row>
    <row r="206" spans="1:7" s="213" customFormat="1" ht="14.25" customHeight="1" x14ac:dyDescent="0.25">
      <c r="A206" s="212"/>
      <c r="B206" s="221" t="s">
        <v>1216</v>
      </c>
      <c r="C206" s="208" t="s">
        <v>389</v>
      </c>
      <c r="D206" s="208" t="s">
        <v>390</v>
      </c>
      <c r="E206" s="208" t="s">
        <v>391</v>
      </c>
      <c r="F206" s="212"/>
      <c r="G206" s="212"/>
    </row>
    <row r="207" spans="1:7" s="213" customFormat="1" ht="14.25" customHeight="1" x14ac:dyDescent="0.25">
      <c r="A207" s="212"/>
      <c r="B207" s="221" t="s">
        <v>1217</v>
      </c>
      <c r="C207" s="208" t="s">
        <v>516</v>
      </c>
      <c r="D207" s="441" t="s">
        <v>1498</v>
      </c>
      <c r="E207" s="208" t="s">
        <v>953</v>
      </c>
      <c r="F207" s="212"/>
      <c r="G207" s="212"/>
    </row>
    <row r="208" spans="1:7" s="213" customFormat="1" ht="14.25" customHeight="1" x14ac:dyDescent="0.25">
      <c r="A208" s="212"/>
      <c r="B208" s="221" t="s">
        <v>1218</v>
      </c>
      <c r="C208" s="208" t="s">
        <v>945</v>
      </c>
      <c r="D208" s="208" t="s">
        <v>948</v>
      </c>
      <c r="E208" s="208" t="s">
        <v>954</v>
      </c>
      <c r="F208" s="212"/>
      <c r="G208" s="212"/>
    </row>
    <row r="209" spans="1:7" s="229" customFormat="1" x14ac:dyDescent="0.25">
      <c r="B209" s="220" t="s">
        <v>1219</v>
      </c>
      <c r="C209" s="220" t="s">
        <v>1359</v>
      </c>
      <c r="D209" s="220" t="s">
        <v>1367</v>
      </c>
      <c r="E209" s="220" t="s">
        <v>1368</v>
      </c>
    </row>
    <row r="210" spans="1:7" s="229" customFormat="1" x14ac:dyDescent="0.25">
      <c r="B210" s="220" t="s">
        <v>1220</v>
      </c>
      <c r="C210" s="220" t="s">
        <v>1471</v>
      </c>
      <c r="D210" s="220" t="s">
        <v>1472</v>
      </c>
      <c r="E210" s="220" t="s">
        <v>1473</v>
      </c>
    </row>
    <row r="211" spans="1:7" s="229" customFormat="1" ht="14.25" customHeight="1" x14ac:dyDescent="0.25">
      <c r="B211" s="220" t="s">
        <v>1221</v>
      </c>
      <c r="C211" s="220" t="s">
        <v>1373</v>
      </c>
      <c r="D211" s="220" t="s">
        <v>1375</v>
      </c>
      <c r="E211" s="220" t="s">
        <v>1374</v>
      </c>
    </row>
    <row r="212" spans="1:7" s="229" customFormat="1" ht="14.25" customHeight="1" x14ac:dyDescent="0.25">
      <c r="B212" s="220" t="s">
        <v>1222</v>
      </c>
      <c r="C212" s="220" t="s">
        <v>946</v>
      </c>
      <c r="D212" s="220" t="s">
        <v>949</v>
      </c>
      <c r="E212" s="220" t="s">
        <v>955</v>
      </c>
    </row>
    <row r="213" spans="1:7" s="229" customFormat="1" ht="14.25" customHeight="1" x14ac:dyDescent="0.25">
      <c r="B213" s="220" t="s">
        <v>1223</v>
      </c>
      <c r="C213" s="220" t="s">
        <v>396</v>
      </c>
      <c r="D213" s="220" t="s">
        <v>397</v>
      </c>
      <c r="E213" s="220" t="s">
        <v>398</v>
      </c>
    </row>
    <row r="214" spans="1:7" s="229" customFormat="1" ht="14.25" customHeight="1" x14ac:dyDescent="0.25">
      <c r="B214" s="220" t="s">
        <v>1224</v>
      </c>
      <c r="C214" s="220" t="s">
        <v>517</v>
      </c>
      <c r="D214" s="220" t="s">
        <v>950</v>
      </c>
      <c r="E214" s="220" t="s">
        <v>1570</v>
      </c>
    </row>
    <row r="215" spans="1:7" s="229" customFormat="1" ht="14.25" customHeight="1" x14ac:dyDescent="0.25">
      <c r="B215" s="220" t="s">
        <v>1225</v>
      </c>
      <c r="C215" s="247" t="s">
        <v>1360</v>
      </c>
      <c r="D215" s="220" t="s">
        <v>1474</v>
      </c>
      <c r="E215" s="220" t="s">
        <v>1476</v>
      </c>
    </row>
    <row r="216" spans="1:7" s="229" customFormat="1" x14ac:dyDescent="0.25">
      <c r="B216" s="220" t="s">
        <v>1226</v>
      </c>
      <c r="C216" s="247" t="s">
        <v>1470</v>
      </c>
      <c r="D216" s="220" t="s">
        <v>1475</v>
      </c>
      <c r="E216" s="220" t="s">
        <v>1477</v>
      </c>
    </row>
    <row r="217" spans="1:7" s="229" customFormat="1" ht="14.25" customHeight="1" x14ac:dyDescent="0.25">
      <c r="B217" s="220" t="s">
        <v>1227</v>
      </c>
      <c r="C217" s="220" t="s">
        <v>520</v>
      </c>
      <c r="D217" s="220" t="s">
        <v>951</v>
      </c>
      <c r="E217" s="220" t="s">
        <v>956</v>
      </c>
    </row>
    <row r="218" spans="1:7" s="229" customFormat="1" ht="14.25" customHeight="1" x14ac:dyDescent="0.25">
      <c r="B218" s="220" t="s">
        <v>1228</v>
      </c>
      <c r="C218" s="220" t="s">
        <v>947</v>
      </c>
      <c r="D218" s="220" t="s">
        <v>1499</v>
      </c>
      <c r="E218" s="220" t="s">
        <v>957</v>
      </c>
    </row>
    <row r="219" spans="1:7" s="229" customFormat="1" ht="14.25" customHeight="1" x14ac:dyDescent="0.25">
      <c r="B219" s="220" t="s">
        <v>1229</v>
      </c>
      <c r="C219" s="220" t="s">
        <v>536</v>
      </c>
      <c r="D219" s="220" t="s">
        <v>1500</v>
      </c>
      <c r="E219" s="220" t="s">
        <v>958</v>
      </c>
    </row>
    <row r="221" spans="1:7" s="213" customFormat="1" ht="14.25" customHeight="1" x14ac:dyDescent="0.25">
      <c r="A221" s="212"/>
      <c r="B221" s="221" t="s">
        <v>1230</v>
      </c>
      <c r="C221" s="208" t="s">
        <v>405</v>
      </c>
      <c r="D221" s="208" t="s">
        <v>406</v>
      </c>
      <c r="E221" s="283" t="s">
        <v>1035</v>
      </c>
      <c r="F221" s="212"/>
      <c r="G221" s="212"/>
    </row>
    <row r="222" spans="1:7" s="213" customFormat="1" ht="14.25" customHeight="1" x14ac:dyDescent="0.25">
      <c r="A222" s="212"/>
      <c r="B222" s="221" t="s">
        <v>1231</v>
      </c>
      <c r="C222" s="208" t="s">
        <v>408</v>
      </c>
      <c r="D222" s="208" t="s">
        <v>409</v>
      </c>
      <c r="E222" s="208" t="s">
        <v>410</v>
      </c>
      <c r="F222" s="212"/>
      <c r="G222" s="212"/>
    </row>
    <row r="223" spans="1:7" s="213" customFormat="1" ht="14.25" customHeight="1" x14ac:dyDescent="0.25">
      <c r="A223" s="212"/>
      <c r="B223" s="221" t="s">
        <v>1232</v>
      </c>
      <c r="C223" s="208" t="s">
        <v>412</v>
      </c>
      <c r="D223" s="208" t="s">
        <v>413</v>
      </c>
      <c r="E223" s="283" t="s">
        <v>1048</v>
      </c>
      <c r="F223" s="212"/>
      <c r="G223" s="212"/>
    </row>
    <row r="224" spans="1:7" s="213" customFormat="1" ht="14.25" customHeight="1" x14ac:dyDescent="0.25">
      <c r="A224" s="212"/>
      <c r="C224" s="208"/>
      <c r="D224" s="208"/>
      <c r="E224" s="208"/>
      <c r="F224" s="212"/>
      <c r="G224" s="212"/>
    </row>
    <row r="225" spans="1:7" s="213" customFormat="1" ht="14.25" customHeight="1" x14ac:dyDescent="0.25">
      <c r="A225" s="212"/>
      <c r="B225" s="221" t="s">
        <v>1233</v>
      </c>
      <c r="C225" s="208" t="s">
        <v>415</v>
      </c>
      <c r="D225" s="283" t="s">
        <v>1023</v>
      </c>
      <c r="E225" s="208" t="s">
        <v>417</v>
      </c>
      <c r="F225" s="212"/>
      <c r="G225" s="212"/>
    </row>
    <row r="226" spans="1:7" s="213" customFormat="1" ht="14.25" customHeight="1" x14ac:dyDescent="0.25">
      <c r="A226" s="212"/>
      <c r="C226" s="208"/>
      <c r="D226" s="208"/>
      <c r="E226" s="208"/>
      <c r="F226" s="212"/>
      <c r="G226" s="212"/>
    </row>
    <row r="227" spans="1:7" s="213" customFormat="1" ht="14.25" customHeight="1" x14ac:dyDescent="0.25">
      <c r="A227" s="212"/>
      <c r="B227" s="221" t="s">
        <v>1234</v>
      </c>
      <c r="C227" s="208" t="s">
        <v>419</v>
      </c>
      <c r="D227" s="283" t="s">
        <v>1020</v>
      </c>
      <c r="E227" s="208" t="s">
        <v>420</v>
      </c>
      <c r="F227" s="212"/>
      <c r="G227" s="212"/>
    </row>
    <row r="228" spans="1:7" s="213" customFormat="1" ht="14.25" customHeight="1" x14ac:dyDescent="0.25">
      <c r="A228" s="212"/>
      <c r="C228" s="208"/>
      <c r="D228" s="208"/>
      <c r="E228" s="208"/>
      <c r="F228" s="212"/>
      <c r="G228" s="212"/>
    </row>
    <row r="229" spans="1:7" s="213" customFormat="1" ht="14.25" customHeight="1" x14ac:dyDescent="0.25">
      <c r="A229" s="212"/>
      <c r="B229" s="221" t="s">
        <v>1235</v>
      </c>
      <c r="C229" s="208" t="s">
        <v>422</v>
      </c>
      <c r="D229" s="208" t="s">
        <v>423</v>
      </c>
      <c r="E229" s="282" t="s">
        <v>1005</v>
      </c>
      <c r="F229" s="212"/>
      <c r="G229" s="212"/>
    </row>
    <row r="230" spans="1:7" s="229" customFormat="1" ht="14.25" customHeight="1" x14ac:dyDescent="0.25">
      <c r="B230" s="220" t="s">
        <v>1236</v>
      </c>
      <c r="C230" s="220" t="s">
        <v>1507</v>
      </c>
      <c r="D230" s="220" t="s">
        <v>1376</v>
      </c>
      <c r="E230" s="220" t="s">
        <v>1377</v>
      </c>
    </row>
    <row r="231" spans="1:7" s="213" customFormat="1" ht="14.25" customHeight="1" x14ac:dyDescent="0.25">
      <c r="A231" s="212"/>
      <c r="B231" s="221" t="s">
        <v>1237</v>
      </c>
      <c r="C231" s="280" t="s">
        <v>867</v>
      </c>
      <c r="D231" s="280" t="s">
        <v>971</v>
      </c>
      <c r="E231" s="208" t="s">
        <v>972</v>
      </c>
      <c r="F231" s="212"/>
      <c r="G231" s="212"/>
    </row>
    <row r="232" spans="1:7" s="213" customFormat="1" ht="14.25" customHeight="1" x14ac:dyDescent="0.25">
      <c r="A232" s="212"/>
      <c r="B232" s="221" t="s">
        <v>1238</v>
      </c>
      <c r="C232" s="283" t="s">
        <v>1009</v>
      </c>
      <c r="D232" s="445" t="s">
        <v>1533</v>
      </c>
      <c r="E232" s="369" t="s">
        <v>1352</v>
      </c>
      <c r="F232" s="212"/>
      <c r="G232" s="212"/>
    </row>
    <row r="233" spans="1:7" s="213" customFormat="1" ht="14.25" customHeight="1" x14ac:dyDescent="0.25">
      <c r="A233" s="212"/>
      <c r="B233" s="280" t="s">
        <v>1239</v>
      </c>
      <c r="C233" s="283" t="s">
        <v>1010</v>
      </c>
      <c r="D233" s="445" t="s">
        <v>1534</v>
      </c>
      <c r="E233" s="369" t="s">
        <v>1353</v>
      </c>
      <c r="F233" s="212"/>
      <c r="G233" s="212"/>
    </row>
    <row r="234" spans="1:7" s="213" customFormat="1" ht="14.25" customHeight="1" x14ac:dyDescent="0.25">
      <c r="A234" s="212"/>
      <c r="B234" s="280" t="s">
        <v>1240</v>
      </c>
      <c r="C234" s="272" t="s">
        <v>866</v>
      </c>
      <c r="D234" s="272" t="s">
        <v>973</v>
      </c>
      <c r="E234" s="272" t="s">
        <v>974</v>
      </c>
      <c r="F234" s="212"/>
      <c r="G234" s="212"/>
    </row>
    <row r="235" spans="1:7" s="213" customFormat="1" ht="14.25" customHeight="1" x14ac:dyDescent="0.25">
      <c r="A235" s="212"/>
      <c r="B235" s="280" t="s">
        <v>1241</v>
      </c>
      <c r="C235" s="371" t="s">
        <v>1378</v>
      </c>
      <c r="D235" s="316" t="s">
        <v>1380</v>
      </c>
      <c r="E235" s="316" t="s">
        <v>1379</v>
      </c>
      <c r="F235" s="212"/>
      <c r="G235" s="212"/>
    </row>
    <row r="236" spans="1:7" s="213" customFormat="1" ht="14.25" customHeight="1" x14ac:dyDescent="0.25">
      <c r="A236" s="212"/>
      <c r="B236" s="280" t="s">
        <v>1242</v>
      </c>
      <c r="C236" s="208" t="s">
        <v>1383</v>
      </c>
      <c r="D236" s="208" t="s">
        <v>1381</v>
      </c>
      <c r="E236" s="208" t="s">
        <v>1382</v>
      </c>
      <c r="F236" s="212"/>
      <c r="G236" s="212"/>
    </row>
    <row r="237" spans="1:7" s="213" customFormat="1" ht="14.25" customHeight="1" x14ac:dyDescent="0.25">
      <c r="A237" s="212"/>
      <c r="C237" s="208"/>
      <c r="D237" s="208"/>
      <c r="E237" s="208"/>
      <c r="F237" s="212"/>
      <c r="G237" s="212"/>
    </row>
    <row r="238" spans="1:7" s="213" customFormat="1" ht="14.25" customHeight="1" x14ac:dyDescent="0.25">
      <c r="A238" s="212"/>
      <c r="B238" s="280" t="s">
        <v>1243</v>
      </c>
      <c r="C238" s="208" t="s">
        <v>431</v>
      </c>
      <c r="D238" s="208" t="s">
        <v>432</v>
      </c>
      <c r="E238" s="208" t="s">
        <v>433</v>
      </c>
      <c r="F238" s="212"/>
      <c r="G238" s="212"/>
    </row>
    <row r="239" spans="1:7" s="213" customFormat="1" ht="14.25" customHeight="1" x14ac:dyDescent="0.25">
      <c r="A239" s="212"/>
      <c r="C239" s="208"/>
      <c r="D239" s="208"/>
      <c r="E239" s="208"/>
      <c r="F239" s="212"/>
      <c r="G239" s="212"/>
    </row>
    <row r="240" spans="1:7" s="213" customFormat="1" ht="14.25" customHeight="1" x14ac:dyDescent="0.25">
      <c r="A240" s="212"/>
      <c r="B240" s="280" t="s">
        <v>1244</v>
      </c>
      <c r="C240" s="208" t="s">
        <v>434</v>
      </c>
      <c r="D240" s="208" t="s">
        <v>435</v>
      </c>
      <c r="E240" s="208" t="s">
        <v>436</v>
      </c>
      <c r="F240" s="212"/>
      <c r="G240" s="212"/>
    </row>
    <row r="241" spans="1:7" s="213" customFormat="1" ht="14.25" customHeight="1" x14ac:dyDescent="0.25">
      <c r="A241" s="212"/>
      <c r="B241" s="280" t="s">
        <v>1245</v>
      </c>
      <c r="C241" s="208" t="s">
        <v>438</v>
      </c>
      <c r="D241" s="208" t="s">
        <v>439</v>
      </c>
      <c r="E241" s="208" t="s">
        <v>440</v>
      </c>
      <c r="F241" s="212"/>
      <c r="G241" s="212"/>
    </row>
    <row r="242" spans="1:7" s="213" customFormat="1" ht="14.25" customHeight="1" x14ac:dyDescent="0.25">
      <c r="A242" s="212"/>
      <c r="B242" s="280" t="s">
        <v>1246</v>
      </c>
      <c r="C242" s="208" t="s">
        <v>442</v>
      </c>
      <c r="D242" s="208" t="s">
        <v>361</v>
      </c>
      <c r="E242" s="208" t="s">
        <v>362</v>
      </c>
      <c r="F242" s="212"/>
      <c r="G242" s="212"/>
    </row>
    <row r="243" spans="1:7" s="213" customFormat="1" ht="14.25" customHeight="1" x14ac:dyDescent="0.25">
      <c r="A243" s="212"/>
      <c r="C243" s="208"/>
      <c r="D243" s="208"/>
      <c r="E243" s="208"/>
      <c r="F243" s="212"/>
      <c r="G243" s="212"/>
    </row>
    <row r="244" spans="1:7" s="213" customFormat="1" ht="14.25" customHeight="1" x14ac:dyDescent="0.25">
      <c r="A244" s="212"/>
      <c r="B244" s="280" t="s">
        <v>1247</v>
      </c>
      <c r="C244" s="208" t="s">
        <v>444</v>
      </c>
      <c r="D244" s="208" t="s">
        <v>445</v>
      </c>
      <c r="E244" s="208" t="s">
        <v>446</v>
      </c>
      <c r="F244" s="212"/>
      <c r="G244" s="212"/>
    </row>
    <row r="245" spans="1:7" s="213" customFormat="1" ht="14.25" customHeight="1" x14ac:dyDescent="0.25">
      <c r="A245" s="212"/>
      <c r="C245" s="208"/>
      <c r="D245" s="208"/>
      <c r="E245" s="208"/>
      <c r="F245" s="212"/>
      <c r="G245" s="212"/>
    </row>
    <row r="246" spans="1:7" s="213" customFormat="1" ht="14.25" customHeight="1" x14ac:dyDescent="0.25">
      <c r="A246" s="212"/>
      <c r="B246" s="280" t="s">
        <v>1248</v>
      </c>
      <c r="C246" s="208" t="s">
        <v>448</v>
      </c>
      <c r="D246" s="208" t="s">
        <v>449</v>
      </c>
      <c r="E246" s="283" t="s">
        <v>1036</v>
      </c>
      <c r="F246" s="212"/>
      <c r="G246" s="212"/>
    </row>
    <row r="247" spans="1:7" s="213" customFormat="1" ht="14.25" customHeight="1" x14ac:dyDescent="0.25">
      <c r="A247" s="212"/>
      <c r="B247" s="280" t="s">
        <v>1249</v>
      </c>
      <c r="C247" s="208" t="s">
        <v>451</v>
      </c>
      <c r="D247" s="208" t="s">
        <v>452</v>
      </c>
      <c r="E247" s="208" t="s">
        <v>453</v>
      </c>
      <c r="F247" s="212"/>
      <c r="G247" s="212"/>
    </row>
    <row r="248" spans="1:7" s="213" customFormat="1" ht="14.25" customHeight="1" x14ac:dyDescent="0.25">
      <c r="A248" s="212"/>
      <c r="B248" s="280" t="s">
        <v>1250</v>
      </c>
      <c r="C248" s="208" t="s">
        <v>455</v>
      </c>
      <c r="D248" s="208" t="s">
        <v>456</v>
      </c>
      <c r="E248" s="208" t="s">
        <v>457</v>
      </c>
      <c r="F248" s="212"/>
      <c r="G248" s="212"/>
    </row>
    <row r="249" spans="1:7" s="213" customFormat="1" ht="14.25" customHeight="1" x14ac:dyDescent="0.25">
      <c r="A249" s="212"/>
      <c r="B249" s="280" t="s">
        <v>1251</v>
      </c>
      <c r="C249" s="208" t="s">
        <v>459</v>
      </c>
      <c r="D249" s="208" t="s">
        <v>460</v>
      </c>
      <c r="E249" s="208" t="s">
        <v>461</v>
      </c>
      <c r="F249" s="212"/>
      <c r="G249" s="212"/>
    </row>
    <row r="250" spans="1:7" s="213" customFormat="1" ht="14.25" customHeight="1" x14ac:dyDescent="0.25">
      <c r="A250" s="212"/>
      <c r="B250" s="280" t="s">
        <v>1252</v>
      </c>
      <c r="C250" s="208" t="s">
        <v>463</v>
      </c>
      <c r="D250" s="208" t="s">
        <v>464</v>
      </c>
      <c r="E250" s="208" t="s">
        <v>465</v>
      </c>
      <c r="F250" s="212"/>
      <c r="G250" s="212"/>
    </row>
    <row r="251" spans="1:7" s="213" customFormat="1" ht="14.25" customHeight="1" x14ac:dyDescent="0.25">
      <c r="A251" s="212"/>
      <c r="C251" s="208"/>
      <c r="D251" s="208"/>
      <c r="E251" s="208"/>
      <c r="F251" s="212"/>
      <c r="G251" s="212"/>
    </row>
    <row r="252" spans="1:7" s="213" customFormat="1" ht="14.25" customHeight="1" x14ac:dyDescent="0.25">
      <c r="A252" s="212"/>
      <c r="B252" s="280" t="s">
        <v>1253</v>
      </c>
      <c r="C252" s="208" t="s">
        <v>137</v>
      </c>
      <c r="D252" s="283" t="s">
        <v>1029</v>
      </c>
      <c r="E252" s="208" t="s">
        <v>648</v>
      </c>
      <c r="F252" s="212"/>
      <c r="G252" s="212"/>
    </row>
    <row r="253" spans="1:7" s="213" customFormat="1" ht="14.25" customHeight="1" x14ac:dyDescent="0.25">
      <c r="A253" s="212"/>
      <c r="C253" s="208"/>
      <c r="D253" s="208"/>
      <c r="E253" s="208"/>
      <c r="F253" s="212"/>
      <c r="G253" s="212"/>
    </row>
    <row r="254" spans="1:7" s="213" customFormat="1" ht="14.25" customHeight="1" x14ac:dyDescent="0.25">
      <c r="A254" s="212"/>
      <c r="B254" s="280" t="s">
        <v>1254</v>
      </c>
      <c r="C254" s="208" t="s">
        <v>468</v>
      </c>
      <c r="D254" s="283" t="s">
        <v>1027</v>
      </c>
      <c r="E254" s="208" t="s">
        <v>469</v>
      </c>
      <c r="F254" s="212"/>
      <c r="G254" s="212"/>
    </row>
    <row r="255" spans="1:7" s="213" customFormat="1" ht="14.25" customHeight="1" x14ac:dyDescent="0.25">
      <c r="A255" s="212"/>
      <c r="C255" s="208"/>
      <c r="D255" s="208"/>
      <c r="E255" s="208"/>
      <c r="F255" s="212"/>
      <c r="G255" s="212"/>
    </row>
    <row r="256" spans="1:7" s="213" customFormat="1" ht="14.25" customHeight="1" x14ac:dyDescent="0.25">
      <c r="A256" s="212"/>
      <c r="B256" s="280" t="s">
        <v>1255</v>
      </c>
      <c r="C256" s="371" t="s">
        <v>1123</v>
      </c>
      <c r="D256" s="371" t="s">
        <v>1124</v>
      </c>
      <c r="E256" s="208" t="s">
        <v>6</v>
      </c>
      <c r="F256" s="212"/>
      <c r="G256" s="212"/>
    </row>
    <row r="257" spans="1:7" s="213" customFormat="1" ht="14.25" customHeight="1" x14ac:dyDescent="0.25">
      <c r="A257" s="212"/>
      <c r="C257" s="208"/>
      <c r="D257" s="208"/>
      <c r="E257" s="208"/>
      <c r="F257" s="212"/>
      <c r="G257" s="212"/>
    </row>
    <row r="258" spans="1:7" s="213" customFormat="1" ht="14.25" customHeight="1" x14ac:dyDescent="0.25">
      <c r="A258" s="212"/>
      <c r="B258" s="280" t="s">
        <v>1256</v>
      </c>
      <c r="C258" s="371" t="s">
        <v>1384</v>
      </c>
      <c r="D258" s="371" t="s">
        <v>1386</v>
      </c>
      <c r="E258" s="371" t="s">
        <v>1385</v>
      </c>
      <c r="F258" s="212"/>
      <c r="G258" s="212"/>
    </row>
    <row r="259" spans="1:7" s="213" customFormat="1" ht="14.25" customHeight="1" x14ac:dyDescent="0.25">
      <c r="A259" s="212"/>
      <c r="B259" s="280" t="s">
        <v>1257</v>
      </c>
      <c r="C259" s="208" t="s">
        <v>944</v>
      </c>
      <c r="D259" s="441" t="s">
        <v>1497</v>
      </c>
      <c r="E259" s="208" t="s">
        <v>952</v>
      </c>
      <c r="F259" s="212"/>
      <c r="G259" s="212"/>
    </row>
    <row r="260" spans="1:7" s="213" customFormat="1" ht="14.25" customHeight="1" x14ac:dyDescent="0.25">
      <c r="A260" s="212"/>
      <c r="B260" s="280" t="s">
        <v>1258</v>
      </c>
      <c r="C260" s="227" t="s">
        <v>682</v>
      </c>
      <c r="D260" s="441" t="s">
        <v>1494</v>
      </c>
      <c r="E260" s="245" t="s">
        <v>776</v>
      </c>
      <c r="F260" s="212"/>
      <c r="G260" s="212"/>
    </row>
    <row r="261" spans="1:7" s="213" customFormat="1" ht="14.25" customHeight="1" x14ac:dyDescent="0.25">
      <c r="A261" s="212"/>
      <c r="B261" s="280" t="s">
        <v>1259</v>
      </c>
      <c r="C261" s="347" t="s">
        <v>1087</v>
      </c>
      <c r="D261" s="347" t="s">
        <v>1089</v>
      </c>
      <c r="E261" s="347" t="s">
        <v>1091</v>
      </c>
      <c r="F261" s="212"/>
      <c r="G261" s="212"/>
    </row>
    <row r="262" spans="1:7" s="213" customFormat="1" ht="14.25" customHeight="1" x14ac:dyDescent="0.25">
      <c r="A262" s="212"/>
      <c r="B262" s="280" t="s">
        <v>1260</v>
      </c>
      <c r="C262" s="347" t="s">
        <v>1088</v>
      </c>
      <c r="D262" s="347" t="s">
        <v>1090</v>
      </c>
      <c r="E262" s="347" t="s">
        <v>1092</v>
      </c>
      <c r="F262" s="212"/>
      <c r="G262" s="212"/>
    </row>
    <row r="263" spans="1:7" s="213" customFormat="1" ht="14.25" customHeight="1" x14ac:dyDescent="0.25">
      <c r="A263" s="212"/>
      <c r="B263" s="280" t="s">
        <v>1261</v>
      </c>
      <c r="C263" s="371" t="s">
        <v>1387</v>
      </c>
      <c r="D263" s="371" t="s">
        <v>1388</v>
      </c>
      <c r="E263" s="283" t="s">
        <v>1049</v>
      </c>
      <c r="F263" s="212"/>
      <c r="G263" s="212"/>
    </row>
    <row r="264" spans="1:7" s="213" customFormat="1" ht="14.25" customHeight="1" x14ac:dyDescent="0.25">
      <c r="A264" s="212"/>
      <c r="B264" s="280" t="s">
        <v>1262</v>
      </c>
      <c r="C264" s="231" t="s">
        <v>747</v>
      </c>
      <c r="D264" s="441" t="s">
        <v>1495</v>
      </c>
      <c r="E264" s="231" t="s">
        <v>748</v>
      </c>
      <c r="F264" s="212"/>
      <c r="G264" s="212"/>
    </row>
    <row r="265" spans="1:7" s="213" customFormat="1" ht="14.25" customHeight="1" x14ac:dyDescent="0.25">
      <c r="A265" s="212"/>
      <c r="B265" s="280" t="s">
        <v>1263</v>
      </c>
      <c r="C265" s="208" t="s">
        <v>481</v>
      </c>
      <c r="D265" s="208" t="s">
        <v>482</v>
      </c>
      <c r="E265" s="208" t="s">
        <v>483</v>
      </c>
      <c r="F265" s="212"/>
      <c r="G265" s="212"/>
    </row>
    <row r="266" spans="1:7" s="213" customFormat="1" ht="14.25" customHeight="1" x14ac:dyDescent="0.25">
      <c r="A266" s="212"/>
      <c r="B266" s="221" t="s">
        <v>1264</v>
      </c>
      <c r="C266" s="208" t="s">
        <v>138</v>
      </c>
      <c r="D266" s="208" t="s">
        <v>485</v>
      </c>
      <c r="E266" s="208" t="s">
        <v>486</v>
      </c>
      <c r="F266" s="212"/>
      <c r="G266" s="212"/>
    </row>
    <row r="267" spans="1:7" s="213" customFormat="1" ht="14.25" customHeight="1" x14ac:dyDescent="0.25">
      <c r="A267" s="212"/>
      <c r="B267" s="221" t="s">
        <v>1265</v>
      </c>
      <c r="C267" s="208" t="s">
        <v>488</v>
      </c>
      <c r="D267" s="208" t="s">
        <v>489</v>
      </c>
      <c r="E267" s="208" t="s">
        <v>490</v>
      </c>
      <c r="F267" s="212"/>
      <c r="G267" s="212"/>
    </row>
    <row r="268" spans="1:7" s="229" customFormat="1" ht="14.25" customHeight="1" x14ac:dyDescent="0.25">
      <c r="B268" s="220" t="s">
        <v>1266</v>
      </c>
      <c r="C268" s="220" t="s">
        <v>516</v>
      </c>
      <c r="D268" s="220" t="s">
        <v>1498</v>
      </c>
      <c r="E268" s="220" t="s">
        <v>1571</v>
      </c>
    </row>
    <row r="269" spans="1:7" s="213" customFormat="1" ht="14.25" customHeight="1" x14ac:dyDescent="0.25">
      <c r="A269" s="212"/>
      <c r="C269" s="208"/>
      <c r="D269" s="208"/>
      <c r="E269" s="208"/>
      <c r="F269" s="212"/>
      <c r="G269" s="212"/>
    </row>
    <row r="270" spans="1:7" s="213" customFormat="1" ht="14.25" customHeight="1" x14ac:dyDescent="0.25">
      <c r="A270" s="212"/>
      <c r="B270" s="221" t="s">
        <v>1267</v>
      </c>
      <c r="C270" s="208" t="s">
        <v>945</v>
      </c>
      <c r="D270" s="208" t="s">
        <v>948</v>
      </c>
      <c r="E270" s="208" t="s">
        <v>954</v>
      </c>
      <c r="F270" s="212"/>
      <c r="G270" s="212"/>
    </row>
    <row r="271" spans="1:7" s="229" customFormat="1" ht="14.25" customHeight="1" x14ac:dyDescent="0.25">
      <c r="B271" s="220" t="s">
        <v>1268</v>
      </c>
      <c r="C271" s="220" t="s">
        <v>1466</v>
      </c>
      <c r="D271" s="220" t="s">
        <v>1478</v>
      </c>
      <c r="E271" s="220" t="s">
        <v>1479</v>
      </c>
    </row>
    <row r="272" spans="1:7" s="213" customFormat="1" ht="14.25" customHeight="1" x14ac:dyDescent="0.25">
      <c r="A272" s="212"/>
      <c r="B272" s="280" t="s">
        <v>1269</v>
      </c>
      <c r="C272" s="227" t="s">
        <v>683</v>
      </c>
      <c r="D272" s="441" t="s">
        <v>1480</v>
      </c>
      <c r="E272" s="208" t="s">
        <v>494</v>
      </c>
      <c r="F272" s="212"/>
      <c r="G272" s="212"/>
    </row>
    <row r="273" spans="1:7" s="229" customFormat="1" ht="14.25" customHeight="1" x14ac:dyDescent="0.25">
      <c r="B273" s="220" t="s">
        <v>1270</v>
      </c>
      <c r="C273" s="220" t="s">
        <v>1467</v>
      </c>
      <c r="D273" s="220" t="s">
        <v>1481</v>
      </c>
      <c r="E273" s="220" t="s">
        <v>1482</v>
      </c>
    </row>
    <row r="274" spans="1:7" s="213" customFormat="1" ht="14.25" customHeight="1" x14ac:dyDescent="0.25">
      <c r="A274" s="212"/>
      <c r="B274" s="280" t="s">
        <v>1271</v>
      </c>
      <c r="C274" s="371" t="s">
        <v>1394</v>
      </c>
      <c r="D274" s="371" t="s">
        <v>1395</v>
      </c>
      <c r="E274" s="283" t="s">
        <v>1050</v>
      </c>
      <c r="F274" s="212"/>
      <c r="G274" s="212"/>
    </row>
    <row r="275" spans="1:7" s="213" customFormat="1" ht="14.25" customHeight="1" x14ac:dyDescent="0.25">
      <c r="A275" s="212"/>
      <c r="B275" s="221" t="s">
        <v>1272</v>
      </c>
      <c r="C275" s="231" t="s">
        <v>749</v>
      </c>
      <c r="D275" s="445" t="s">
        <v>1535</v>
      </c>
      <c r="E275" s="231" t="s">
        <v>750</v>
      </c>
      <c r="F275" s="212"/>
      <c r="G275" s="212"/>
    </row>
    <row r="276" spans="1:7" s="213" customFormat="1" ht="14.25" customHeight="1" x14ac:dyDescent="0.25">
      <c r="A276" s="212"/>
      <c r="B276" s="221" t="s">
        <v>1273</v>
      </c>
      <c r="C276" s="208" t="s">
        <v>139</v>
      </c>
      <c r="D276" s="445" t="s">
        <v>1536</v>
      </c>
      <c r="E276" s="208" t="s">
        <v>498</v>
      </c>
      <c r="F276" s="212"/>
      <c r="G276" s="212"/>
    </row>
    <row r="277" spans="1:7" s="213" customFormat="1" ht="14.25" customHeight="1" x14ac:dyDescent="0.25">
      <c r="A277" s="212"/>
      <c r="B277" s="221" t="s">
        <v>1274</v>
      </c>
      <c r="C277" s="208" t="s">
        <v>499</v>
      </c>
      <c r="D277" s="445" t="s">
        <v>1537</v>
      </c>
      <c r="E277" s="208" t="s">
        <v>500</v>
      </c>
      <c r="F277" s="212"/>
      <c r="G277" s="212"/>
    </row>
    <row r="278" spans="1:7" s="229" customFormat="1" ht="14.25" customHeight="1" x14ac:dyDescent="0.25">
      <c r="B278" s="220" t="s">
        <v>1275</v>
      </c>
      <c r="C278" s="220" t="s">
        <v>517</v>
      </c>
      <c r="D278" s="220" t="s">
        <v>518</v>
      </c>
      <c r="E278" s="220" t="s">
        <v>1570</v>
      </c>
    </row>
    <row r="279" spans="1:7" s="229" customFormat="1" ht="14.25" customHeight="1" x14ac:dyDescent="0.25">
      <c r="B279" s="220" t="s">
        <v>1276</v>
      </c>
      <c r="C279" s="395" t="s">
        <v>1464</v>
      </c>
      <c r="D279" s="220" t="s">
        <v>1483</v>
      </c>
      <c r="E279" s="220" t="s">
        <v>1490</v>
      </c>
    </row>
    <row r="280" spans="1:7" s="229" customFormat="1" ht="14.25" customHeight="1" x14ac:dyDescent="0.25">
      <c r="B280" s="220" t="s">
        <v>1277</v>
      </c>
      <c r="C280" s="395" t="s">
        <v>1465</v>
      </c>
      <c r="D280" s="220" t="s">
        <v>1484</v>
      </c>
      <c r="E280" s="220" t="s">
        <v>1491</v>
      </c>
    </row>
    <row r="281" spans="1:7" s="229" customFormat="1" ht="14.25" customHeight="1" x14ac:dyDescent="0.25">
      <c r="B281" s="220" t="s">
        <v>1278</v>
      </c>
      <c r="C281" s="395" t="s">
        <v>1361</v>
      </c>
      <c r="D281" s="220" t="s">
        <v>1485</v>
      </c>
      <c r="E281" s="220" t="s">
        <v>1492</v>
      </c>
    </row>
    <row r="282" spans="1:7" s="229" customFormat="1" ht="14.25" customHeight="1" x14ac:dyDescent="0.25">
      <c r="C282" s="220"/>
      <c r="D282" s="220"/>
      <c r="E282" s="220"/>
    </row>
    <row r="283" spans="1:7" s="229" customFormat="1" ht="14.25" customHeight="1" x14ac:dyDescent="0.25">
      <c r="B283" s="220" t="s">
        <v>1279</v>
      </c>
      <c r="C283" s="220" t="s">
        <v>946</v>
      </c>
      <c r="D283" s="220" t="s">
        <v>949</v>
      </c>
      <c r="E283" s="220" t="s">
        <v>955</v>
      </c>
    </row>
    <row r="284" spans="1:7" s="229" customFormat="1" ht="14.25" customHeight="1" x14ac:dyDescent="0.25">
      <c r="B284" s="220" t="s">
        <v>1280</v>
      </c>
      <c r="C284" s="220" t="s">
        <v>1468</v>
      </c>
      <c r="D284" s="220" t="s">
        <v>1486</v>
      </c>
      <c r="E284" s="220" t="s">
        <v>1487</v>
      </c>
    </row>
    <row r="285" spans="1:7" s="213" customFormat="1" ht="14.25" customHeight="1" x14ac:dyDescent="0.25">
      <c r="A285" s="212"/>
      <c r="B285" s="280" t="s">
        <v>1281</v>
      </c>
      <c r="C285" s="371" t="s">
        <v>1389</v>
      </c>
      <c r="D285" s="441" t="s">
        <v>1489</v>
      </c>
      <c r="E285" s="371" t="s">
        <v>1390</v>
      </c>
      <c r="F285" s="212"/>
      <c r="G285" s="212"/>
    </row>
    <row r="286" spans="1:7" s="213" customFormat="1" ht="14.25" customHeight="1" x14ac:dyDescent="0.25">
      <c r="A286" s="212"/>
      <c r="B286" s="280" t="s">
        <v>1282</v>
      </c>
      <c r="C286" s="371" t="s">
        <v>1391</v>
      </c>
      <c r="D286" s="442" t="s">
        <v>1501</v>
      </c>
      <c r="E286" s="442" t="s">
        <v>1523</v>
      </c>
      <c r="F286" s="212"/>
      <c r="G286" s="212"/>
    </row>
    <row r="287" spans="1:7" s="213" customFormat="1" ht="14.25" customHeight="1" x14ac:dyDescent="0.25">
      <c r="A287" s="212"/>
      <c r="B287" s="231" t="s">
        <v>1283</v>
      </c>
      <c r="C287" s="371" t="s">
        <v>1392</v>
      </c>
      <c r="D287" s="441" t="s">
        <v>1488</v>
      </c>
      <c r="E287" s="371" t="s">
        <v>1393</v>
      </c>
      <c r="F287" s="212"/>
      <c r="G287" s="212"/>
    </row>
    <row r="288" spans="1:7" s="229" customFormat="1" ht="14.25" customHeight="1" x14ac:dyDescent="0.25">
      <c r="B288" s="220" t="s">
        <v>1284</v>
      </c>
      <c r="C288" s="395" t="s">
        <v>1469</v>
      </c>
      <c r="D288" s="220" t="s">
        <v>1531</v>
      </c>
      <c r="E288" s="220" t="s">
        <v>1524</v>
      </c>
    </row>
    <row r="289" spans="1:7" s="213" customFormat="1" ht="14.25" customHeight="1" x14ac:dyDescent="0.25">
      <c r="A289" s="212"/>
      <c r="B289" s="221" t="s">
        <v>1285</v>
      </c>
      <c r="C289" s="371" t="s">
        <v>1397</v>
      </c>
      <c r="D289" s="371" t="s">
        <v>1396</v>
      </c>
      <c r="E289" s="283" t="s">
        <v>1051</v>
      </c>
      <c r="F289" s="212"/>
      <c r="G289" s="212"/>
    </row>
    <row r="290" spans="1:7" s="213" customFormat="1" ht="14.25" customHeight="1" x14ac:dyDescent="0.25">
      <c r="A290" s="212"/>
      <c r="B290" s="221" t="s">
        <v>1286</v>
      </c>
      <c r="C290" s="231" t="s">
        <v>751</v>
      </c>
      <c r="D290" s="260" t="s">
        <v>838</v>
      </c>
      <c r="E290" s="231" t="s">
        <v>752</v>
      </c>
      <c r="F290" s="212"/>
      <c r="G290" s="212"/>
    </row>
    <row r="291" spans="1:7" s="213" customFormat="1" ht="14.25" customHeight="1" x14ac:dyDescent="0.25">
      <c r="A291" s="212"/>
      <c r="B291" s="221" t="s">
        <v>1287</v>
      </c>
      <c r="C291" s="260" t="s">
        <v>140</v>
      </c>
      <c r="D291" s="260" t="s">
        <v>507</v>
      </c>
      <c r="E291" s="208" t="s">
        <v>508</v>
      </c>
      <c r="F291" s="212"/>
      <c r="G291" s="212"/>
    </row>
    <row r="292" spans="1:7" s="213" customFormat="1" ht="14.25" customHeight="1" x14ac:dyDescent="0.25">
      <c r="A292" s="212"/>
      <c r="B292" s="231" t="s">
        <v>1288</v>
      </c>
      <c r="C292" s="208" t="s">
        <v>510</v>
      </c>
      <c r="D292" s="208" t="s">
        <v>511</v>
      </c>
      <c r="E292" s="208" t="s">
        <v>512</v>
      </c>
      <c r="F292" s="212"/>
      <c r="G292" s="212"/>
    </row>
    <row r="293" spans="1:7" s="213" customFormat="1" ht="14.25" customHeight="1" x14ac:dyDescent="0.25">
      <c r="A293" s="212"/>
      <c r="B293" s="231" t="s">
        <v>1289</v>
      </c>
      <c r="C293" s="208" t="s">
        <v>520</v>
      </c>
      <c r="D293" s="208" t="s">
        <v>521</v>
      </c>
      <c r="E293" s="208" t="s">
        <v>956</v>
      </c>
      <c r="F293" s="212"/>
      <c r="G293" s="212"/>
    </row>
    <row r="294" spans="1:7" s="213" customFormat="1" ht="14.25" customHeight="1" x14ac:dyDescent="0.25">
      <c r="A294" s="212"/>
      <c r="C294" s="208"/>
      <c r="D294" s="208"/>
      <c r="E294" s="208"/>
      <c r="F294" s="212"/>
      <c r="G294" s="212"/>
    </row>
    <row r="295" spans="1:7" s="213" customFormat="1" ht="14.25" customHeight="1" x14ac:dyDescent="0.25">
      <c r="A295" s="212"/>
      <c r="B295" s="221" t="s">
        <v>1290</v>
      </c>
      <c r="C295" s="371" t="s">
        <v>1398</v>
      </c>
      <c r="D295" s="441" t="s">
        <v>1502</v>
      </c>
      <c r="E295" s="371" t="s">
        <v>1399</v>
      </c>
      <c r="F295" s="212"/>
      <c r="G295" s="212"/>
    </row>
    <row r="296" spans="1:7" s="213" customFormat="1" ht="14.25" customHeight="1" x14ac:dyDescent="0.25">
      <c r="A296" s="212"/>
      <c r="B296" s="221" t="s">
        <v>1291</v>
      </c>
      <c r="C296" s="208" t="s">
        <v>523</v>
      </c>
      <c r="D296" s="208" t="s">
        <v>524</v>
      </c>
      <c r="E296" s="208" t="s">
        <v>525</v>
      </c>
      <c r="F296" s="212"/>
      <c r="G296" s="212"/>
    </row>
    <row r="297" spans="1:7" s="213" customFormat="1" ht="14.25" customHeight="1" x14ac:dyDescent="0.25">
      <c r="A297" s="212"/>
      <c r="B297" s="231" t="s">
        <v>1292</v>
      </c>
      <c r="C297" s="208" t="s">
        <v>527</v>
      </c>
      <c r="D297" s="208" t="s">
        <v>528</v>
      </c>
      <c r="E297" s="208" t="s">
        <v>529</v>
      </c>
      <c r="F297" s="212"/>
      <c r="G297" s="212"/>
    </row>
    <row r="298" spans="1:7" s="213" customFormat="1" ht="14.25" customHeight="1" x14ac:dyDescent="0.25">
      <c r="A298" s="212"/>
      <c r="B298" s="231" t="s">
        <v>1293</v>
      </c>
      <c r="C298" s="208" t="s">
        <v>531</v>
      </c>
      <c r="D298" s="208" t="s">
        <v>532</v>
      </c>
      <c r="E298" s="208" t="s">
        <v>533</v>
      </c>
      <c r="F298" s="212"/>
      <c r="G298" s="212"/>
    </row>
    <row r="299" spans="1:7" s="213" customFormat="1" ht="14.25" customHeight="1" x14ac:dyDescent="0.25">
      <c r="A299" s="212"/>
      <c r="B299" s="231" t="s">
        <v>1294</v>
      </c>
      <c r="C299" s="208" t="s">
        <v>527</v>
      </c>
      <c r="D299" s="208" t="s">
        <v>528</v>
      </c>
      <c r="E299" s="208" t="s">
        <v>529</v>
      </c>
      <c r="F299" s="212"/>
      <c r="G299" s="212"/>
    </row>
    <row r="300" spans="1:7" s="213" customFormat="1" ht="14.25" customHeight="1" x14ac:dyDescent="0.25">
      <c r="A300" s="212"/>
      <c r="B300" s="371" t="s">
        <v>1295</v>
      </c>
      <c r="C300" s="284" t="s">
        <v>1054</v>
      </c>
      <c r="D300" s="284" t="s">
        <v>1055</v>
      </c>
      <c r="E300" s="284" t="s">
        <v>1056</v>
      </c>
      <c r="F300" s="212"/>
      <c r="G300" s="212"/>
    </row>
    <row r="301" spans="1:7" s="213" customFormat="1" ht="14.25" customHeight="1" x14ac:dyDescent="0.25">
      <c r="A301" s="212"/>
      <c r="B301" s="371" t="s">
        <v>1296</v>
      </c>
      <c r="C301" s="208" t="s">
        <v>536</v>
      </c>
      <c r="D301" s="441" t="s">
        <v>1503</v>
      </c>
      <c r="E301" s="441" t="s">
        <v>1504</v>
      </c>
      <c r="F301" s="212"/>
      <c r="G301" s="212"/>
    </row>
    <row r="302" spans="1:7" s="213" customFormat="1" ht="14.25" customHeight="1" x14ac:dyDescent="0.25">
      <c r="A302" s="212"/>
      <c r="C302" s="208"/>
      <c r="D302" s="208"/>
      <c r="E302" s="208"/>
      <c r="F302" s="212"/>
      <c r="G302" s="212"/>
    </row>
    <row r="303" spans="1:7" s="213" customFormat="1" ht="14.25" customHeight="1" x14ac:dyDescent="0.25">
      <c r="A303" s="212"/>
      <c r="B303" s="371" t="s">
        <v>1297</v>
      </c>
      <c r="C303" s="353" t="s">
        <v>676</v>
      </c>
      <c r="D303" s="353" t="s">
        <v>768</v>
      </c>
      <c r="E303" s="353" t="s">
        <v>837</v>
      </c>
      <c r="F303" s="212"/>
      <c r="G303" s="212"/>
    </row>
    <row r="304" spans="1:7" s="213" customFormat="1" ht="14.25" customHeight="1" x14ac:dyDescent="0.25">
      <c r="A304" s="212"/>
      <c r="C304" s="208"/>
      <c r="D304" s="208"/>
      <c r="E304" s="208"/>
      <c r="F304" s="212"/>
      <c r="G304" s="212"/>
    </row>
    <row r="305" spans="1:7" s="213" customFormat="1" ht="14.25" customHeight="1" x14ac:dyDescent="0.25">
      <c r="A305" s="212"/>
      <c r="B305" s="371" t="s">
        <v>1298</v>
      </c>
      <c r="C305" s="208" t="s">
        <v>538</v>
      </c>
      <c r="D305" s="208" t="s">
        <v>539</v>
      </c>
      <c r="E305" s="208" t="s">
        <v>540</v>
      </c>
      <c r="F305" s="212"/>
      <c r="G305" s="212"/>
    </row>
    <row r="306" spans="1:7" s="213" customFormat="1" ht="14.25" customHeight="1" x14ac:dyDescent="0.25">
      <c r="A306" s="212"/>
      <c r="B306" s="371" t="s">
        <v>1299</v>
      </c>
      <c r="C306" s="208" t="s">
        <v>542</v>
      </c>
      <c r="D306" s="208" t="s">
        <v>543</v>
      </c>
      <c r="E306" s="208" t="s">
        <v>544</v>
      </c>
      <c r="F306" s="212"/>
      <c r="G306" s="212"/>
    </row>
    <row r="307" spans="1:7" s="213" customFormat="1" ht="14.25" customHeight="1" x14ac:dyDescent="0.25">
      <c r="A307" s="212"/>
      <c r="B307" s="371" t="s">
        <v>1300</v>
      </c>
      <c r="C307" s="208" t="s">
        <v>546</v>
      </c>
      <c r="D307" s="208" t="s">
        <v>547</v>
      </c>
      <c r="E307" s="208" t="s">
        <v>548</v>
      </c>
      <c r="F307" s="212"/>
      <c r="G307" s="212"/>
    </row>
    <row r="308" spans="1:7" s="213" customFormat="1" ht="14.25" customHeight="1" x14ac:dyDescent="0.25">
      <c r="A308" s="212"/>
      <c r="B308" s="371" t="s">
        <v>1301</v>
      </c>
      <c r="C308" s="208" t="s">
        <v>550</v>
      </c>
      <c r="D308" s="208" t="s">
        <v>551</v>
      </c>
      <c r="E308" s="208" t="s">
        <v>552</v>
      </c>
      <c r="F308" s="212"/>
      <c r="G308" s="212"/>
    </row>
    <row r="309" spans="1:7" s="213" customFormat="1" ht="14.25" customHeight="1" x14ac:dyDescent="0.25">
      <c r="A309" s="212"/>
      <c r="C309" s="208"/>
      <c r="D309" s="208"/>
      <c r="E309" s="208"/>
      <c r="F309" s="212"/>
      <c r="G309" s="212"/>
    </row>
    <row r="310" spans="1:7" s="213" customFormat="1" ht="14.25" customHeight="1" x14ac:dyDescent="0.25">
      <c r="A310" s="212"/>
      <c r="B310" s="371" t="s">
        <v>1302</v>
      </c>
      <c r="C310" s="208" t="s">
        <v>554</v>
      </c>
      <c r="D310" s="208" t="s">
        <v>555</v>
      </c>
      <c r="E310" s="208" t="s">
        <v>556</v>
      </c>
      <c r="F310" s="212"/>
      <c r="G310" s="212"/>
    </row>
    <row r="311" spans="1:7" s="213" customFormat="1" ht="14.25" customHeight="1" x14ac:dyDescent="0.25">
      <c r="A311" s="212"/>
      <c r="C311" s="208"/>
      <c r="D311" s="208"/>
      <c r="E311" s="208"/>
      <c r="F311" s="212"/>
      <c r="G311" s="212"/>
    </row>
    <row r="312" spans="1:7" s="213" customFormat="1" ht="14.25" customHeight="1" x14ac:dyDescent="0.25">
      <c r="A312" s="212"/>
      <c r="B312" s="231" t="s">
        <v>1303</v>
      </c>
      <c r="C312" s="208" t="s">
        <v>558</v>
      </c>
      <c r="D312" s="283" t="s">
        <v>1021</v>
      </c>
      <c r="E312" s="208" t="s">
        <v>559</v>
      </c>
      <c r="F312" s="212"/>
      <c r="G312" s="212"/>
    </row>
    <row r="313" spans="1:7" s="213" customFormat="1" ht="14.25" customHeight="1" x14ac:dyDescent="0.25">
      <c r="A313" s="212"/>
      <c r="B313" s="221" t="s">
        <v>1304</v>
      </c>
      <c r="C313" s="208" t="s">
        <v>336</v>
      </c>
      <c r="D313" s="208" t="s">
        <v>337</v>
      </c>
      <c r="E313" s="208" t="s">
        <v>338</v>
      </c>
      <c r="F313" s="212"/>
      <c r="G313" s="212"/>
    </row>
    <row r="314" spans="1:7" s="213" customFormat="1" ht="14.25" customHeight="1" x14ac:dyDescent="0.25">
      <c r="A314" s="212"/>
      <c r="B314" s="231" t="s">
        <v>1305</v>
      </c>
      <c r="C314" s="208" t="s">
        <v>340</v>
      </c>
      <c r="D314" s="208" t="s">
        <v>341</v>
      </c>
      <c r="E314" s="208" t="s">
        <v>342</v>
      </c>
      <c r="F314" s="212"/>
      <c r="G314" s="212"/>
    </row>
    <row r="315" spans="1:7" s="213" customFormat="1" ht="14.25" customHeight="1" x14ac:dyDescent="0.25">
      <c r="A315" s="212"/>
      <c r="B315" s="231" t="s">
        <v>1306</v>
      </c>
      <c r="C315" s="208" t="s">
        <v>344</v>
      </c>
      <c r="D315" s="208" t="s">
        <v>345</v>
      </c>
      <c r="E315" s="208" t="s">
        <v>346</v>
      </c>
      <c r="F315" s="212"/>
      <c r="G315" s="212"/>
    </row>
    <row r="316" spans="1:7" s="213" customFormat="1" ht="14.25" customHeight="1" x14ac:dyDescent="0.25">
      <c r="A316" s="212"/>
      <c r="B316" s="309" t="s">
        <v>1307</v>
      </c>
      <c r="C316" s="208" t="s">
        <v>348</v>
      </c>
      <c r="D316" s="208" t="s">
        <v>349</v>
      </c>
      <c r="E316" s="208" t="s">
        <v>350</v>
      </c>
      <c r="F316" s="212"/>
      <c r="G316" s="212"/>
    </row>
    <row r="317" spans="1:7" s="213" customFormat="1" ht="14.25" customHeight="1" x14ac:dyDescent="0.25">
      <c r="A317" s="212"/>
      <c r="B317" s="371" t="s">
        <v>1308</v>
      </c>
      <c r="C317" s="208" t="s">
        <v>565</v>
      </c>
      <c r="D317" s="208" t="s">
        <v>353</v>
      </c>
      <c r="E317" s="208" t="s">
        <v>566</v>
      </c>
      <c r="F317" s="212"/>
      <c r="G317" s="212"/>
    </row>
    <row r="318" spans="1:7" s="213" customFormat="1" ht="14.25" customHeight="1" x14ac:dyDescent="0.25">
      <c r="A318" s="212"/>
      <c r="B318" s="371" t="s">
        <v>1309</v>
      </c>
      <c r="C318" s="208" t="s">
        <v>801</v>
      </c>
      <c r="D318" s="208" t="s">
        <v>803</v>
      </c>
      <c r="E318" s="208" t="s">
        <v>802</v>
      </c>
      <c r="F318" s="212"/>
      <c r="G318" s="212"/>
    </row>
    <row r="319" spans="1:7" s="213" customFormat="1" ht="14.25" customHeight="1" x14ac:dyDescent="0.25">
      <c r="A319" s="212"/>
      <c r="C319" s="208"/>
      <c r="D319" s="208"/>
      <c r="E319" s="208"/>
      <c r="F319" s="212"/>
      <c r="G319" s="212"/>
    </row>
    <row r="320" spans="1:7" s="213" customFormat="1" ht="14.25" customHeight="1" x14ac:dyDescent="0.25">
      <c r="A320" s="212"/>
      <c r="B320" s="371" t="s">
        <v>1310</v>
      </c>
      <c r="C320" s="208" t="s">
        <v>569</v>
      </c>
      <c r="D320" s="208" t="s">
        <v>570</v>
      </c>
      <c r="E320" s="283" t="s">
        <v>1039</v>
      </c>
      <c r="F320" s="212"/>
      <c r="G320" s="212"/>
    </row>
    <row r="321" spans="1:7" s="213" customFormat="1" ht="14.25" customHeight="1" x14ac:dyDescent="0.25">
      <c r="A321" s="212"/>
      <c r="C321" s="208"/>
      <c r="D321" s="208"/>
      <c r="E321" s="208"/>
      <c r="F321" s="212"/>
      <c r="G321" s="212"/>
    </row>
    <row r="322" spans="1:7" s="213" customFormat="1" ht="14.25" customHeight="1" x14ac:dyDescent="0.25">
      <c r="A322" s="212"/>
      <c r="B322" s="371" t="s">
        <v>1311</v>
      </c>
      <c r="C322" s="208" t="s">
        <v>572</v>
      </c>
      <c r="D322" s="208" t="s">
        <v>573</v>
      </c>
      <c r="E322" s="208" t="s">
        <v>574</v>
      </c>
      <c r="F322" s="212"/>
      <c r="G322" s="212"/>
    </row>
    <row r="323" spans="1:7" s="213" customFormat="1" ht="14.25" customHeight="1" x14ac:dyDescent="0.25">
      <c r="A323" s="212"/>
      <c r="B323" s="371" t="s">
        <v>1312</v>
      </c>
      <c r="C323" s="208" t="s">
        <v>577</v>
      </c>
      <c r="D323" s="208" t="s">
        <v>578</v>
      </c>
      <c r="E323" s="208" t="s">
        <v>579</v>
      </c>
      <c r="F323" s="212"/>
      <c r="G323" s="212"/>
    </row>
    <row r="324" spans="1:7" s="213" customFormat="1" ht="14.25" customHeight="1" x14ac:dyDescent="0.25">
      <c r="A324" s="212"/>
      <c r="B324" s="371" t="s">
        <v>1313</v>
      </c>
      <c r="C324" s="208" t="s">
        <v>581</v>
      </c>
      <c r="D324" s="208" t="s">
        <v>582</v>
      </c>
      <c r="E324" s="208" t="s">
        <v>583</v>
      </c>
      <c r="F324" s="212"/>
      <c r="G324" s="212"/>
    </row>
    <row r="325" spans="1:7" s="213" customFormat="1" ht="14.25" customHeight="1" x14ac:dyDescent="0.25">
      <c r="A325" s="212"/>
      <c r="C325" s="208"/>
      <c r="D325" s="208"/>
      <c r="E325" s="208"/>
      <c r="F325" s="212"/>
      <c r="G325" s="212"/>
    </row>
    <row r="326" spans="1:7" s="213" customFormat="1" ht="14.25" customHeight="1" x14ac:dyDescent="0.25">
      <c r="A326" s="212"/>
      <c r="B326" s="371" t="s">
        <v>1314</v>
      </c>
      <c r="C326" s="208" t="s">
        <v>585</v>
      </c>
      <c r="D326" s="208" t="s">
        <v>586</v>
      </c>
      <c r="E326" s="208" t="s">
        <v>587</v>
      </c>
      <c r="F326" s="212"/>
      <c r="G326" s="212"/>
    </row>
    <row r="327" spans="1:7" s="213" customFormat="1" ht="14.25" customHeight="1" x14ac:dyDescent="0.25">
      <c r="A327" s="212"/>
      <c r="B327" s="309" t="s">
        <v>1315</v>
      </c>
      <c r="C327" s="208" t="s">
        <v>589</v>
      </c>
      <c r="D327" s="208" t="s">
        <v>590</v>
      </c>
      <c r="E327" s="208" t="s">
        <v>591</v>
      </c>
      <c r="F327" s="212"/>
      <c r="G327" s="212"/>
    </row>
    <row r="328" spans="1:7" s="213" customFormat="1" ht="14.25" customHeight="1" x14ac:dyDescent="0.25">
      <c r="A328" s="212"/>
      <c r="B328" s="371" t="s">
        <v>1316</v>
      </c>
      <c r="C328" s="208" t="s">
        <v>593</v>
      </c>
      <c r="D328" s="208" t="s">
        <v>594</v>
      </c>
      <c r="E328" s="208" t="s">
        <v>595</v>
      </c>
      <c r="F328" s="212"/>
      <c r="G328" s="212"/>
    </row>
    <row r="329" spans="1:7" s="213" customFormat="1" ht="14.25" customHeight="1" x14ac:dyDescent="0.25">
      <c r="A329" s="212"/>
      <c r="C329" s="208"/>
      <c r="D329" s="208"/>
      <c r="E329" s="208"/>
      <c r="F329" s="212"/>
      <c r="G329" s="212"/>
    </row>
    <row r="330" spans="1:7" s="213" customFormat="1" ht="14.25" customHeight="1" x14ac:dyDescent="0.25">
      <c r="A330" s="212"/>
      <c r="B330" s="371" t="s">
        <v>1317</v>
      </c>
      <c r="C330" s="275" t="s">
        <v>861</v>
      </c>
      <c r="D330" s="283" t="s">
        <v>1022</v>
      </c>
      <c r="E330" s="283" t="s">
        <v>1037</v>
      </c>
      <c r="F330" s="212"/>
      <c r="G330" s="212"/>
    </row>
    <row r="331" spans="1:7" s="213" customFormat="1" ht="14.25" customHeight="1" x14ac:dyDescent="0.25">
      <c r="A331" s="212"/>
      <c r="B331" s="371" t="s">
        <v>1318</v>
      </c>
      <c r="C331" s="275" t="s">
        <v>868</v>
      </c>
      <c r="D331" s="208" t="s">
        <v>1001</v>
      </c>
      <c r="E331" s="208" t="s">
        <v>1002</v>
      </c>
      <c r="F331" s="212"/>
      <c r="G331" s="212"/>
    </row>
    <row r="332" spans="1:7" s="213" customFormat="1" ht="14.25" customHeight="1" x14ac:dyDescent="0.25">
      <c r="A332" s="212"/>
      <c r="B332" s="309" t="s">
        <v>1319</v>
      </c>
      <c r="C332" s="208" t="s">
        <v>463</v>
      </c>
      <c r="D332" s="208" t="s">
        <v>598</v>
      </c>
      <c r="E332" s="208" t="s">
        <v>465</v>
      </c>
      <c r="F332" s="212"/>
      <c r="G332" s="212"/>
    </row>
    <row r="333" spans="1:7" s="213" customFormat="1" ht="14.25" customHeight="1" x14ac:dyDescent="0.25">
      <c r="A333" s="212"/>
      <c r="C333" s="208"/>
      <c r="D333" s="208"/>
      <c r="E333" s="208"/>
      <c r="F333" s="212"/>
      <c r="G333" s="212"/>
    </row>
    <row r="334" spans="1:7" s="213" customFormat="1" ht="14.25" customHeight="1" x14ac:dyDescent="0.25">
      <c r="A334" s="212"/>
      <c r="B334" s="309" t="s">
        <v>1320</v>
      </c>
      <c r="C334" s="208" t="s">
        <v>600</v>
      </c>
      <c r="D334" s="208" t="s">
        <v>601</v>
      </c>
      <c r="E334" s="283" t="s">
        <v>1038</v>
      </c>
      <c r="F334" s="212"/>
      <c r="G334" s="212"/>
    </row>
    <row r="335" spans="1:7" s="229" customFormat="1" ht="14.25" customHeight="1" x14ac:dyDescent="0.25">
      <c r="B335" s="220" t="s">
        <v>1321</v>
      </c>
      <c r="C335" s="379" t="s">
        <v>1400</v>
      </c>
      <c r="D335" s="220" t="s">
        <v>1401</v>
      </c>
      <c r="E335" s="220" t="s">
        <v>1402</v>
      </c>
    </row>
    <row r="336" spans="1:7" s="229" customFormat="1" ht="14.25" customHeight="1" x14ac:dyDescent="0.25">
      <c r="B336" s="220" t="s">
        <v>1322</v>
      </c>
      <c r="C336" s="406" t="s">
        <v>1515</v>
      </c>
      <c r="D336" s="406" t="s">
        <v>1528</v>
      </c>
      <c r="E336" s="220" t="s">
        <v>1510</v>
      </c>
    </row>
    <row r="337" spans="1:7" s="229" customFormat="1" ht="14.25" customHeight="1" x14ac:dyDescent="0.25">
      <c r="B337" s="220" t="s">
        <v>1323</v>
      </c>
      <c r="C337" s="406" t="s">
        <v>1516</v>
      </c>
      <c r="D337" s="406" t="s">
        <v>1529</v>
      </c>
      <c r="E337" s="220" t="s">
        <v>1511</v>
      </c>
    </row>
    <row r="338" spans="1:7" s="229" customFormat="1" ht="14.25" customHeight="1" x14ac:dyDescent="0.25">
      <c r="B338" s="220" t="s">
        <v>1324</v>
      </c>
      <c r="C338" s="220" t="s">
        <v>1403</v>
      </c>
      <c r="D338" s="220" t="s">
        <v>1404</v>
      </c>
      <c r="E338" s="220" t="s">
        <v>1405</v>
      </c>
    </row>
    <row r="339" spans="1:7" s="229" customFormat="1" ht="14.25" customHeight="1" x14ac:dyDescent="0.25">
      <c r="B339" s="220" t="s">
        <v>1325</v>
      </c>
      <c r="C339" s="379" t="s">
        <v>1406</v>
      </c>
      <c r="D339" s="220" t="s">
        <v>1505</v>
      </c>
      <c r="E339" s="220" t="s">
        <v>1407</v>
      </c>
    </row>
    <row r="340" spans="1:7" s="229" customFormat="1" ht="14.25" customHeight="1" x14ac:dyDescent="0.25">
      <c r="B340" s="220" t="s">
        <v>1416</v>
      </c>
      <c r="C340" s="406" t="s">
        <v>1517</v>
      </c>
      <c r="D340" s="406" t="s">
        <v>1538</v>
      </c>
      <c r="E340" s="220" t="s">
        <v>1512</v>
      </c>
    </row>
    <row r="341" spans="1:7" s="229" customFormat="1" ht="14.25" customHeight="1" x14ac:dyDescent="0.25">
      <c r="B341" s="220" t="s">
        <v>1417</v>
      </c>
      <c r="C341" s="406" t="s">
        <v>1518</v>
      </c>
      <c r="D341" s="406" t="s">
        <v>1539</v>
      </c>
      <c r="E341" s="220" t="s">
        <v>1513</v>
      </c>
    </row>
    <row r="342" spans="1:7" s="229" customFormat="1" ht="14.25" customHeight="1" x14ac:dyDescent="0.25">
      <c r="B342" s="220" t="s">
        <v>1418</v>
      </c>
      <c r="C342" s="406" t="s">
        <v>1519</v>
      </c>
      <c r="D342" s="406" t="s">
        <v>1530</v>
      </c>
      <c r="E342" s="220" t="s">
        <v>1514</v>
      </c>
    </row>
    <row r="343" spans="1:7" s="229" customFormat="1" ht="14.25" customHeight="1" x14ac:dyDescent="0.25">
      <c r="B343" s="220" t="s">
        <v>1419</v>
      </c>
      <c r="C343" s="406" t="s">
        <v>1408</v>
      </c>
      <c r="D343" s="220" t="s">
        <v>1493</v>
      </c>
      <c r="E343" s="220" t="s">
        <v>1409</v>
      </c>
    </row>
    <row r="344" spans="1:7" s="229" customFormat="1" ht="14.25" customHeight="1" x14ac:dyDescent="0.25">
      <c r="B344" s="220" t="s">
        <v>1420</v>
      </c>
      <c r="C344" s="379" t="s">
        <v>1410</v>
      </c>
      <c r="D344" s="220" t="s">
        <v>1411</v>
      </c>
      <c r="E344" s="220" t="s">
        <v>1412</v>
      </c>
    </row>
    <row r="345" spans="1:7" s="229" customFormat="1" ht="14.25" customHeight="1" x14ac:dyDescent="0.25">
      <c r="B345" s="220" t="s">
        <v>1421</v>
      </c>
      <c r="C345" s="406" t="s">
        <v>1515</v>
      </c>
      <c r="D345" s="406" t="s">
        <v>1528</v>
      </c>
      <c r="E345" s="220" t="s">
        <v>1510</v>
      </c>
    </row>
    <row r="346" spans="1:7" s="229" customFormat="1" ht="14.25" customHeight="1" x14ac:dyDescent="0.25">
      <c r="B346" s="220" t="s">
        <v>1422</v>
      </c>
      <c r="C346" s="406" t="s">
        <v>1516</v>
      </c>
      <c r="D346" s="406" t="s">
        <v>1529</v>
      </c>
      <c r="E346" s="220" t="s">
        <v>1511</v>
      </c>
    </row>
    <row r="347" spans="1:7" s="229" customFormat="1" ht="14.25" customHeight="1" x14ac:dyDescent="0.25">
      <c r="B347" s="220" t="s">
        <v>1423</v>
      </c>
      <c r="C347" s="379" t="s">
        <v>1413</v>
      </c>
      <c r="D347" s="220" t="s">
        <v>1414</v>
      </c>
      <c r="E347" s="220" t="s">
        <v>1415</v>
      </c>
    </row>
    <row r="348" spans="1:7" s="213" customFormat="1" ht="14.25" customHeight="1" x14ac:dyDescent="0.25">
      <c r="A348" s="212"/>
      <c r="C348" s="208"/>
      <c r="D348" s="208"/>
      <c r="E348" s="208"/>
      <c r="F348" s="212"/>
      <c r="G348" s="212"/>
    </row>
    <row r="349" spans="1:7" s="213" customFormat="1" ht="14.25" customHeight="1" x14ac:dyDescent="0.25">
      <c r="A349" s="212"/>
      <c r="B349" s="371" t="s">
        <v>1426</v>
      </c>
      <c r="C349" s="371" t="s">
        <v>1125</v>
      </c>
      <c r="D349" s="371" t="s">
        <v>1126</v>
      </c>
      <c r="E349" s="208" t="s">
        <v>608</v>
      </c>
      <c r="F349" s="212"/>
      <c r="G349" s="212"/>
    </row>
    <row r="350" spans="1:7" s="213" customFormat="1" ht="14.25" customHeight="1" x14ac:dyDescent="0.25">
      <c r="A350" s="212"/>
      <c r="C350" s="208"/>
      <c r="D350" s="208"/>
      <c r="E350" s="208"/>
      <c r="F350" s="212"/>
      <c r="G350" s="212"/>
    </row>
    <row r="351" spans="1:7" s="213" customFormat="1" ht="14.25" customHeight="1" x14ac:dyDescent="0.25">
      <c r="A351" s="212"/>
      <c r="B351" s="371" t="s">
        <v>1427</v>
      </c>
      <c r="C351" s="208" t="s">
        <v>610</v>
      </c>
      <c r="D351" s="208" t="s">
        <v>611</v>
      </c>
      <c r="E351" s="208" t="s">
        <v>612</v>
      </c>
      <c r="F351" s="212"/>
      <c r="G351" s="212"/>
    </row>
    <row r="352" spans="1:7" s="213" customFormat="1" ht="14.25" customHeight="1" x14ac:dyDescent="0.25">
      <c r="A352" s="212"/>
      <c r="B352" s="225"/>
      <c r="C352" s="223"/>
      <c r="D352" s="223"/>
      <c r="E352" s="223"/>
      <c r="F352" s="212"/>
      <c r="G352" s="212"/>
    </row>
    <row r="353" spans="1:7" s="213" customFormat="1" ht="14.25" customHeight="1" x14ac:dyDescent="0.25">
      <c r="A353" s="212"/>
      <c r="B353" s="371" t="s">
        <v>1428</v>
      </c>
      <c r="C353" s="208" t="s">
        <v>202</v>
      </c>
      <c r="D353" s="208" t="s">
        <v>654</v>
      </c>
      <c r="E353" s="208" t="s">
        <v>653</v>
      </c>
      <c r="F353" s="212"/>
      <c r="G353" s="212"/>
    </row>
    <row r="354" spans="1:7" s="213" customFormat="1" ht="14.25" customHeight="1" x14ac:dyDescent="0.25">
      <c r="A354" s="212"/>
      <c r="B354" s="396" t="s">
        <v>1431</v>
      </c>
      <c r="C354" s="314" t="s">
        <v>1060</v>
      </c>
      <c r="D354" s="314" t="s">
        <v>1061</v>
      </c>
      <c r="E354" s="314" t="s">
        <v>1062</v>
      </c>
      <c r="F354" s="212"/>
      <c r="G354" s="212"/>
    </row>
    <row r="355" spans="1:7" s="213" customFormat="1" ht="14.25" customHeight="1" x14ac:dyDescent="0.25">
      <c r="A355" s="212"/>
      <c r="B355" s="225"/>
      <c r="C355" s="223"/>
      <c r="D355" s="223"/>
      <c r="E355" s="223"/>
      <c r="F355" s="212"/>
      <c r="G355" s="212"/>
    </row>
    <row r="356" spans="1:7" s="213" customFormat="1" ht="14.25" customHeight="1" x14ac:dyDescent="0.25">
      <c r="A356" s="212"/>
      <c r="B356" s="230"/>
      <c r="C356" s="230"/>
      <c r="D356" s="230"/>
      <c r="E356" s="230"/>
      <c r="F356" s="212"/>
      <c r="G356" s="212"/>
    </row>
    <row r="357" spans="1:7" s="213" customFormat="1" ht="14.25" customHeight="1" x14ac:dyDescent="0.25">
      <c r="A357" s="212"/>
      <c r="B357" s="228" t="s">
        <v>92</v>
      </c>
      <c r="C357" s="228" t="s">
        <v>1332</v>
      </c>
      <c r="D357" s="228" t="s">
        <v>1333</v>
      </c>
      <c r="E357" s="228" t="s">
        <v>1339</v>
      </c>
      <c r="F357" s="212"/>
      <c r="G357" s="212"/>
    </row>
    <row r="358" spans="1:7" s="213" customFormat="1" ht="14.25" customHeight="1" x14ac:dyDescent="0.25">
      <c r="A358" s="212"/>
      <c r="B358" s="230"/>
      <c r="C358" s="230"/>
      <c r="D358" s="230"/>
      <c r="E358" s="230"/>
      <c r="F358" s="212"/>
      <c r="G358" s="212"/>
    </row>
    <row r="359" spans="1:7" s="213" customFormat="1" ht="14.25" customHeight="1" x14ac:dyDescent="0.25">
      <c r="A359" s="212"/>
      <c r="B359" s="220" t="s">
        <v>100</v>
      </c>
      <c r="C359" s="220" t="s">
        <v>637</v>
      </c>
      <c r="D359" s="220" t="s">
        <v>661</v>
      </c>
      <c r="E359" s="220" t="s">
        <v>662</v>
      </c>
      <c r="F359" s="212"/>
      <c r="G359" s="212"/>
    </row>
    <row r="360" spans="1:7" s="213" customFormat="1" ht="14.25" customHeight="1" x14ac:dyDescent="0.25">
      <c r="A360" s="212"/>
      <c r="B360" s="220" t="s">
        <v>101</v>
      </c>
      <c r="C360" s="220" t="s">
        <v>669</v>
      </c>
      <c r="D360" s="220" t="s">
        <v>670</v>
      </c>
      <c r="E360" s="220" t="s">
        <v>671</v>
      </c>
      <c r="F360" s="212"/>
      <c r="G360" s="212"/>
    </row>
    <row r="361" spans="1:7" s="213" customFormat="1" ht="14.25" customHeight="1" x14ac:dyDescent="0.25">
      <c r="A361" s="212"/>
      <c r="B361" s="220" t="s">
        <v>102</v>
      </c>
      <c r="C361" s="220" t="s">
        <v>664</v>
      </c>
      <c r="D361" s="220" t="s">
        <v>666</v>
      </c>
      <c r="E361" s="220" t="s">
        <v>667</v>
      </c>
      <c r="F361" s="212"/>
      <c r="G361" s="212"/>
    </row>
    <row r="362" spans="1:7" s="213" customFormat="1" ht="14.25" customHeight="1" x14ac:dyDescent="0.25">
      <c r="A362" s="212"/>
      <c r="B362" s="220" t="s">
        <v>103</v>
      </c>
      <c r="C362" s="220" t="s">
        <v>1081</v>
      </c>
      <c r="D362" s="220" t="s">
        <v>1082</v>
      </c>
      <c r="E362" s="220" t="s">
        <v>1083</v>
      </c>
      <c r="F362" s="212"/>
      <c r="G362" s="212"/>
    </row>
    <row r="363" spans="1:7" s="213" customFormat="1" ht="14.25" customHeight="1" x14ac:dyDescent="0.25">
      <c r="A363" s="212"/>
      <c r="B363" s="220" t="s">
        <v>647</v>
      </c>
      <c r="C363" s="220" t="s">
        <v>1084</v>
      </c>
      <c r="D363" s="220" t="s">
        <v>1085</v>
      </c>
      <c r="E363" s="220" t="s">
        <v>1086</v>
      </c>
      <c r="F363" s="212"/>
      <c r="G363" s="212"/>
    </row>
    <row r="364" spans="1:7" s="213" customFormat="1" ht="14.25" customHeight="1" x14ac:dyDescent="0.25">
      <c r="A364" s="212"/>
      <c r="B364" s="220" t="s">
        <v>731</v>
      </c>
      <c r="C364" s="220" t="s">
        <v>1078</v>
      </c>
      <c r="D364" s="220" t="s">
        <v>1079</v>
      </c>
      <c r="E364" s="220" t="s">
        <v>1080</v>
      </c>
      <c r="F364" s="212"/>
      <c r="G364" s="212"/>
    </row>
    <row r="365" spans="1:7" s="213" customFormat="1" ht="14.25" customHeight="1" x14ac:dyDescent="0.25">
      <c r="A365" s="212"/>
      <c r="B365" s="220" t="s">
        <v>732</v>
      </c>
      <c r="C365" s="220" t="s">
        <v>663</v>
      </c>
      <c r="D365" s="220" t="s">
        <v>665</v>
      </c>
      <c r="E365" s="220" t="s">
        <v>668</v>
      </c>
      <c r="F365" s="212"/>
      <c r="G365" s="212"/>
    </row>
    <row r="366" spans="1:7" s="213" customFormat="1" ht="14.25" customHeight="1" x14ac:dyDescent="0.25">
      <c r="A366" s="212"/>
      <c r="B366" s="220" t="s">
        <v>733</v>
      </c>
      <c r="C366" s="220" t="s">
        <v>1334</v>
      </c>
      <c r="D366" s="220" t="s">
        <v>1335</v>
      </c>
      <c r="E366" s="220" t="s">
        <v>1340</v>
      </c>
      <c r="F366" s="212"/>
      <c r="G366" s="212"/>
    </row>
    <row r="367" spans="1:7" s="213" customFormat="1" ht="14.25" customHeight="1" x14ac:dyDescent="0.25">
      <c r="A367" s="212"/>
      <c r="B367" s="230"/>
      <c r="C367" s="230"/>
      <c r="D367" s="230"/>
      <c r="E367" s="230"/>
      <c r="F367" s="212"/>
      <c r="G367" s="212"/>
    </row>
    <row r="368" spans="1:7" ht="12.75" customHeight="1" x14ac:dyDescent="0.25">
      <c r="B368" s="359"/>
      <c r="C368" s="224"/>
      <c r="D368" s="224"/>
      <c r="E368" s="266"/>
    </row>
    <row r="369" spans="2:7" ht="12.75" customHeight="1" x14ac:dyDescent="0.25">
      <c r="B369" s="359"/>
      <c r="C369" s="224"/>
      <c r="D369" s="224"/>
      <c r="E369" s="266"/>
    </row>
    <row r="370" spans="2:7" ht="12.75" customHeight="1" x14ac:dyDescent="0.25">
      <c r="B370" s="217" t="s">
        <v>767</v>
      </c>
      <c r="C370" s="217" t="s">
        <v>1651</v>
      </c>
      <c r="D370" s="217" t="s">
        <v>1652</v>
      </c>
      <c r="E370" s="217" t="s">
        <v>1653</v>
      </c>
    </row>
    <row r="371" spans="2:7" ht="12.75" customHeight="1" x14ac:dyDescent="0.25">
      <c r="B371" s="352"/>
      <c r="C371" s="209"/>
      <c r="D371" s="209"/>
      <c r="E371" s="235"/>
    </row>
    <row r="372" spans="2:7" ht="12.75" customHeight="1" x14ac:dyDescent="0.25">
      <c r="B372" s="352"/>
      <c r="C372" s="209"/>
      <c r="D372" s="209"/>
      <c r="E372" s="235"/>
    </row>
    <row r="373" spans="2:7" ht="12.75" customHeight="1" x14ac:dyDescent="0.25">
      <c r="B373" s="359"/>
      <c r="C373" s="224"/>
      <c r="D373" s="224"/>
      <c r="E373" s="266"/>
    </row>
    <row r="374" spans="2:7" ht="12.75" customHeight="1" x14ac:dyDescent="0.25">
      <c r="B374" s="217" t="s">
        <v>1128</v>
      </c>
      <c r="C374" s="217" t="s">
        <v>679</v>
      </c>
      <c r="D374" s="217" t="s">
        <v>680</v>
      </c>
      <c r="E374" s="217" t="s">
        <v>681</v>
      </c>
    </row>
    <row r="375" spans="2:7" ht="12.75" customHeight="1" x14ac:dyDescent="0.25">
      <c r="B375" s="352"/>
      <c r="C375" s="209"/>
      <c r="D375" s="209"/>
      <c r="E375" s="235"/>
    </row>
    <row r="376" spans="2:7" ht="12.75" customHeight="1" x14ac:dyDescent="0.25">
      <c r="B376" s="352"/>
      <c r="C376" s="209"/>
      <c r="D376" s="209"/>
      <c r="E376" s="235"/>
    </row>
    <row r="377" spans="2:7" ht="12.75" customHeight="1" x14ac:dyDescent="0.25">
      <c r="G377" s="210"/>
    </row>
    <row r="378" spans="2:7" ht="12.75" customHeight="1" x14ac:dyDescent="0.25">
      <c r="B378" s="217" t="s">
        <v>735</v>
      </c>
      <c r="C378" s="217" t="s">
        <v>1622</v>
      </c>
      <c r="D378" s="217">
        <v>0</v>
      </c>
      <c r="E378" s="217" t="s">
        <v>1623</v>
      </c>
      <c r="G378" s="210"/>
    </row>
    <row r="379" spans="2:7" ht="12.75" customHeight="1" x14ac:dyDescent="0.25">
      <c r="B379" s="448"/>
      <c r="C379" s="448"/>
      <c r="D379" s="448"/>
      <c r="E379" s="448"/>
      <c r="G379" s="210"/>
    </row>
    <row r="380" spans="2:7" ht="12.75" customHeight="1" x14ac:dyDescent="0.25">
      <c r="B380" s="449" t="s">
        <v>736</v>
      </c>
      <c r="C380" s="449" t="s">
        <v>48</v>
      </c>
      <c r="D380" s="449"/>
      <c r="E380" s="450" t="s">
        <v>1576</v>
      </c>
      <c r="G380" s="210"/>
    </row>
    <row r="381" spans="2:7" ht="12.75" customHeight="1" x14ac:dyDescent="0.25">
      <c r="B381" s="449" t="s">
        <v>737</v>
      </c>
      <c r="C381" s="449" t="s">
        <v>1577</v>
      </c>
      <c r="D381" s="449"/>
      <c r="E381" s="450" t="s">
        <v>1578</v>
      </c>
      <c r="F381" s="210"/>
    </row>
    <row r="382" spans="2:7" ht="12.75" customHeight="1" x14ac:dyDescent="0.25">
      <c r="B382" s="449" t="s">
        <v>738</v>
      </c>
      <c r="C382" s="449" t="s">
        <v>1103</v>
      </c>
      <c r="D382" s="449"/>
      <c r="E382" s="450" t="s">
        <v>1579</v>
      </c>
      <c r="F382" s="210"/>
    </row>
    <row r="383" spans="2:7" s="339" customFormat="1" ht="12.75" customHeight="1" x14ac:dyDescent="0.25">
      <c r="B383" s="449" t="s">
        <v>739</v>
      </c>
      <c r="C383" s="449" t="s">
        <v>676</v>
      </c>
      <c r="D383" s="449"/>
      <c r="E383" s="450" t="s">
        <v>837</v>
      </c>
      <c r="G383" s="340"/>
    </row>
    <row r="384" spans="2:7" ht="12.75" customHeight="1" x14ac:dyDescent="0.25">
      <c r="B384" s="449" t="s">
        <v>740</v>
      </c>
      <c r="C384" s="449" t="s">
        <v>1580</v>
      </c>
      <c r="D384" s="449"/>
      <c r="E384" s="449" t="s">
        <v>1581</v>
      </c>
      <c r="F384" s="210"/>
    </row>
    <row r="385" spans="2:6" ht="12.75" customHeight="1" x14ac:dyDescent="0.25">
      <c r="B385" s="449" t="s">
        <v>741</v>
      </c>
      <c r="C385" s="449" t="s">
        <v>1582</v>
      </c>
      <c r="D385" s="449"/>
      <c r="E385" s="449" t="s">
        <v>1583</v>
      </c>
      <c r="F385" s="210"/>
    </row>
    <row r="386" spans="2:6" ht="12.75" customHeight="1" x14ac:dyDescent="0.25">
      <c r="B386" s="449" t="s">
        <v>742</v>
      </c>
      <c r="C386" s="449" t="s">
        <v>1584</v>
      </c>
      <c r="D386" s="449"/>
      <c r="E386" s="450" t="s">
        <v>1585</v>
      </c>
      <c r="F386" s="210"/>
    </row>
    <row r="387" spans="2:6" ht="12.75" customHeight="1" x14ac:dyDescent="0.25">
      <c r="B387" s="449" t="s">
        <v>743</v>
      </c>
      <c r="C387" s="449" t="s">
        <v>1586</v>
      </c>
      <c r="D387" s="449"/>
      <c r="E387" s="449" t="s">
        <v>1587</v>
      </c>
      <c r="F387" s="210"/>
    </row>
    <row r="388" spans="2:6" ht="12.75" customHeight="1" x14ac:dyDescent="0.25">
      <c r="B388" s="449" t="s">
        <v>744</v>
      </c>
      <c r="C388" s="449" t="s">
        <v>1588</v>
      </c>
      <c r="D388" s="449"/>
      <c r="E388" s="450" t="s">
        <v>1589</v>
      </c>
      <c r="F388" s="210"/>
    </row>
    <row r="389" spans="2:6" ht="12.75" customHeight="1" x14ac:dyDescent="0.25">
      <c r="B389" s="449" t="s">
        <v>745</v>
      </c>
      <c r="C389" s="449" t="s">
        <v>1590</v>
      </c>
      <c r="D389" s="449"/>
      <c r="E389" s="450" t="s">
        <v>1591</v>
      </c>
      <c r="F389" s="210"/>
    </row>
    <row r="390" spans="2:6" ht="12.75" customHeight="1" x14ac:dyDescent="0.25">
      <c r="B390" s="449" t="s">
        <v>746</v>
      </c>
      <c r="C390" s="449" t="s">
        <v>1592</v>
      </c>
      <c r="D390" s="449"/>
      <c r="E390" s="450" t="s">
        <v>1593</v>
      </c>
      <c r="F390" s="210"/>
    </row>
    <row r="391" spans="2:6" ht="12.75" customHeight="1" x14ac:dyDescent="0.25">
      <c r="B391" s="449" t="s">
        <v>756</v>
      </c>
      <c r="C391" s="449" t="s">
        <v>1594</v>
      </c>
      <c r="D391" s="449"/>
      <c r="E391" s="450" t="s">
        <v>1595</v>
      </c>
      <c r="F391" s="210"/>
    </row>
    <row r="392" spans="2:6" ht="12.75" customHeight="1" x14ac:dyDescent="0.25">
      <c r="B392" s="449" t="s">
        <v>757</v>
      </c>
      <c r="C392" s="449" t="s">
        <v>1596</v>
      </c>
      <c r="D392" s="449"/>
      <c r="E392" s="450" t="s">
        <v>1597</v>
      </c>
      <c r="F392" s="210"/>
    </row>
    <row r="393" spans="2:6" ht="12.75" customHeight="1" x14ac:dyDescent="0.25">
      <c r="B393" s="449" t="s">
        <v>758</v>
      </c>
      <c r="C393" s="449" t="s">
        <v>1598</v>
      </c>
      <c r="D393" s="449"/>
      <c r="E393" s="450" t="s">
        <v>1575</v>
      </c>
      <c r="F393" s="210"/>
    </row>
    <row r="394" spans="2:6" ht="12.75" customHeight="1" x14ac:dyDescent="0.25">
      <c r="B394" s="449" t="s">
        <v>769</v>
      </c>
      <c r="C394" s="449" t="s">
        <v>1599</v>
      </c>
      <c r="D394" s="449"/>
      <c r="E394" s="450" t="s">
        <v>1600</v>
      </c>
      <c r="F394" s="210"/>
    </row>
    <row r="395" spans="2:6" ht="12.75" customHeight="1" x14ac:dyDescent="0.25">
      <c r="B395" s="449" t="s">
        <v>770</v>
      </c>
      <c r="C395" s="449" t="s">
        <v>1601</v>
      </c>
      <c r="D395" s="449"/>
      <c r="E395" s="450" t="s">
        <v>1602</v>
      </c>
      <c r="F395" s="210"/>
    </row>
    <row r="396" spans="2:6" ht="12.75" customHeight="1" x14ac:dyDescent="0.25">
      <c r="B396" s="449" t="s">
        <v>771</v>
      </c>
      <c r="C396" s="449" t="s">
        <v>1603</v>
      </c>
      <c r="D396" s="449"/>
      <c r="E396" s="450" t="s">
        <v>1604</v>
      </c>
      <c r="F396" s="210"/>
    </row>
    <row r="397" spans="2:6" ht="12.75" customHeight="1" x14ac:dyDescent="0.25">
      <c r="B397" s="449" t="s">
        <v>772</v>
      </c>
      <c r="C397" s="449" t="s">
        <v>1067</v>
      </c>
      <c r="D397" s="449"/>
      <c r="E397" s="450" t="s">
        <v>1605</v>
      </c>
      <c r="F397" s="210"/>
    </row>
    <row r="398" spans="2:6" ht="12.75" customHeight="1" x14ac:dyDescent="0.25">
      <c r="B398" s="449" t="s">
        <v>773</v>
      </c>
      <c r="C398" s="449" t="s">
        <v>1068</v>
      </c>
      <c r="D398" s="449"/>
      <c r="E398" s="450" t="s">
        <v>1606</v>
      </c>
      <c r="F398" s="210"/>
    </row>
    <row r="399" spans="2:6" ht="12.75" customHeight="1" x14ac:dyDescent="0.25">
      <c r="B399" s="449" t="s">
        <v>774</v>
      </c>
      <c r="C399" s="449" t="s">
        <v>1069</v>
      </c>
      <c r="D399" s="449"/>
      <c r="E399" s="450" t="s">
        <v>1607</v>
      </c>
      <c r="F399" s="210"/>
    </row>
    <row r="400" spans="2:6" ht="12.75" customHeight="1" x14ac:dyDescent="0.25">
      <c r="B400" s="449" t="s">
        <v>1059</v>
      </c>
      <c r="C400" s="449" t="s">
        <v>1070</v>
      </c>
      <c r="D400" s="449"/>
      <c r="E400" s="450" t="s">
        <v>1071</v>
      </c>
      <c r="F400" s="210"/>
    </row>
    <row r="401" spans="2:6" ht="12.75" customHeight="1" x14ac:dyDescent="0.25">
      <c r="B401" s="449" t="s">
        <v>1093</v>
      </c>
      <c r="C401" s="449" t="s">
        <v>1608</v>
      </c>
      <c r="D401" s="449"/>
      <c r="E401" s="450" t="s">
        <v>1609</v>
      </c>
      <c r="F401" s="210"/>
    </row>
    <row r="402" spans="2:6" ht="12.75" customHeight="1" x14ac:dyDescent="0.25">
      <c r="B402" s="449" t="s">
        <v>1104</v>
      </c>
      <c r="C402" s="449" t="s">
        <v>1610</v>
      </c>
      <c r="D402" s="449"/>
      <c r="E402" s="450" t="s">
        <v>1611</v>
      </c>
    </row>
    <row r="403" spans="2:6" ht="12.75" customHeight="1" x14ac:dyDescent="0.25">
      <c r="B403" s="449" t="s">
        <v>1105</v>
      </c>
      <c r="C403" s="449" t="s">
        <v>1612</v>
      </c>
      <c r="D403" s="449"/>
      <c r="E403" s="450" t="s">
        <v>1613</v>
      </c>
    </row>
    <row r="404" spans="2:6" ht="12.75" customHeight="1" x14ac:dyDescent="0.25">
      <c r="B404" s="449" t="s">
        <v>1106</v>
      </c>
      <c r="C404" s="449" t="s">
        <v>1614</v>
      </c>
      <c r="D404" s="449"/>
      <c r="E404" s="449" t="s">
        <v>1615</v>
      </c>
    </row>
    <row r="405" spans="2:6" ht="12.75" customHeight="1" x14ac:dyDescent="0.25">
      <c r="B405" s="449" t="s">
        <v>1107</v>
      </c>
      <c r="C405" s="449" t="s">
        <v>1616</v>
      </c>
      <c r="D405" s="449"/>
      <c r="E405" s="449" t="s">
        <v>1617</v>
      </c>
    </row>
    <row r="406" spans="2:6" ht="12.75" customHeight="1" x14ac:dyDescent="0.25">
      <c r="B406" s="449" t="s">
        <v>1109</v>
      </c>
      <c r="C406" s="449" t="s">
        <v>1618</v>
      </c>
      <c r="D406" s="449"/>
      <c r="E406" s="449" t="s">
        <v>1619</v>
      </c>
    </row>
    <row r="407" spans="2:6" ht="12.75" customHeight="1" x14ac:dyDescent="0.25">
      <c r="B407" s="449" t="s">
        <v>1110</v>
      </c>
      <c r="C407" s="220" t="s">
        <v>1072</v>
      </c>
      <c r="D407" s="220"/>
      <c r="E407" s="220" t="s">
        <v>1073</v>
      </c>
    </row>
    <row r="408" spans="2:6" ht="12.75" customHeight="1" x14ac:dyDescent="0.25">
      <c r="B408" s="449" t="s">
        <v>1506</v>
      </c>
      <c r="C408" s="220" t="s">
        <v>1620</v>
      </c>
      <c r="D408" s="449"/>
      <c r="E408" s="449" t="s">
        <v>1621</v>
      </c>
    </row>
  </sheetData>
  <phoneticPr fontId="102" type="noConversion"/>
  <pageMargins left="0.70866141732283472" right="0.70866141732283472" top="0.74803149606299213" bottom="0.74803149606299213" header="0.31496062992125984" footer="0.31496062992125984"/>
  <pageSetup paperSize="9" scale="41"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C61021B14ACC904B85E5051915CA0D18" ma:contentTypeVersion="4" ma:contentTypeDescription="Ein neues Dokument erstellen." ma:contentTypeScope="" ma:versionID="6086afd226a7356db4ba16c3065f7a0f">
  <xsd:schema xmlns:xsd="http://www.w3.org/2001/XMLSchema" xmlns:xs="http://www.w3.org/2001/XMLSchema" xmlns:p="http://schemas.microsoft.com/office/2006/metadata/properties" xmlns:ns2="a13ce8e2-0bfa-4ae3-b62f-afeb61f48330" xmlns:ns3="http://schemas.microsoft.com/sharepoint/v3/fields" xmlns:ns4="1AB9BBCC-83C6-4736-B39B-ABA04A32D413" xmlns:ns5="1ab9bbcc-83c6-4736-b39b-aba04a32d413" targetNamespace="http://schemas.microsoft.com/office/2006/metadata/properties" ma:root="true" ma:fieldsID="e9001ebc680aff0c367f099d37148e28" ns2:_="" ns3:_="" ns4:_="" ns5:_="">
    <xsd:import namespace="a13ce8e2-0bfa-4ae3-b62f-afeb61f48330"/>
    <xsd:import namespace="http://schemas.microsoft.com/sharepoint/v3/fields"/>
    <xsd:import namespace="1AB9BBCC-83C6-4736-B39B-ABA04A32D413"/>
    <xsd:import namespace="1ab9bbcc-83c6-4736-b39b-aba04a32d413"/>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element ref="ns5:Bearbeiten_x0020_durch" minOccurs="0"/>
                <xsd:element ref="ns5:erledig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ce8e2-0bfa-4ae3-b62f-afeb61f48330"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Fachgebiet Risikomanagement|f7725cee-5d8f-4516-8102-0acd7d3144b7"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internalName="ToBeArchived" ma:readOnly="false">
      <xsd:simpleType>
        <xsd:restriction base="dms:Text"/>
      </xsd:simpleType>
    </xsd:element>
    <xsd:element name="Bearbeiten_x0020_durch" ma:index="24" nillable="true" ma:displayName="Bearbeiten durch" ma:description="BMA/ROR" ma:list="UserInfo" ma:SharePointGroup="0" ma:internalName="Bearbeiten_x0020_durch"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ledigt" ma:index="25" nillable="true" ma:displayName="erledigt" ma:default="0" ma:internalName="erledig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opic_Note>
    <OU_Note xmlns="http://schemas.microsoft.com/sharepoint/v3/fields">
      <Terms xmlns="http://schemas.microsoft.com/office/infopath/2007/PartnerControls">
        <TermInfo xmlns="http://schemas.microsoft.com/office/infopath/2007/PartnerControls">
          <TermName xmlns="http://schemas.microsoft.com/office/infopath/2007/PartnerControls">Fachgebiet Risikomanagement</TermName>
          <TermId xmlns="http://schemas.microsoft.com/office/infopath/2007/PartnerControls">f7725cee-5d8f-4516-8102-0acd7d3144b7</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_dlc_DocId xmlns="a13ce8e2-0bfa-4ae3-b62f-afeb61f48330">6005-T-6-111760</_dlc_DocId>
    <_dlc_DocIdUrl xmlns="a13ce8e2-0bfa-4ae3-b62f-afeb61f48330">
      <Url>https://dok.finma.ch/sites/6005-T/_layouts/15/DocIdRedir.aspx?ID=6005-T-6-111760</Url>
      <Description>6005-T-6-111760</Description>
    </_dlc_DocIdUrl>
    <AgendaItemGUID xmlns="1ab9bbcc-83c6-4736-b39b-aba04a32d413" xsi:nil="true"/>
    <RetentionPeriod xmlns="1AB9BBCC-83C6-4736-B39B-ABA04A32D413">15</RetentionPeriod>
    <DocumentDate xmlns="1AB9BBCC-83C6-4736-B39B-ABA04A32D413">2018-10-22T22:00:00+00:00</DocumentDate>
    <SeqenceNumber xmlns="1ab9bbcc-83c6-4736-b39b-aba04a32d413" xsi:nil="true"/>
    <ToBeArchived xmlns="1ab9bbcc-83c6-4736-b39b-aba04a32d413">Nein</ToBeArchived>
    <erledigt xmlns="1ab9bbcc-83c6-4736-b39b-aba04a32d413">false</erledigt>
    <Bearbeiten_x0020_durch xmlns="1ab9bbcc-83c6-4736-b39b-aba04a32d413">
      <UserInfo>
        <DisplayName/>
        <AccountId xsi:nil="true"/>
        <AccountType/>
      </UserInfo>
    </Bearbeiten_x0020_durch>
  </documentManagement>
</p:properties>
</file>

<file path=customXml/itemProps1.xml><?xml version="1.0" encoding="utf-8"?>
<ds:datastoreItem xmlns:ds="http://schemas.openxmlformats.org/officeDocument/2006/customXml" ds:itemID="{2EA94BA0-E4B9-4875-9663-29DA1920951F}">
  <ds:schemaRefs>
    <ds:schemaRef ds:uri="http://schemas.microsoft.com/sharepoint/v3/contenttype/forms"/>
  </ds:schemaRefs>
</ds:datastoreItem>
</file>

<file path=customXml/itemProps2.xml><?xml version="1.0" encoding="utf-8"?>
<ds:datastoreItem xmlns:ds="http://schemas.openxmlformats.org/officeDocument/2006/customXml" ds:itemID="{551EAF52-D4F7-4715-82DF-D22EF6B5C38D}">
  <ds:schemaRefs>
    <ds:schemaRef ds:uri="http://schemas.microsoft.com/sharepoint/events"/>
  </ds:schemaRefs>
</ds:datastoreItem>
</file>

<file path=customXml/itemProps3.xml><?xml version="1.0" encoding="utf-8"?>
<ds:datastoreItem xmlns:ds="http://schemas.openxmlformats.org/officeDocument/2006/customXml" ds:itemID="{CC8C0F0B-1E11-4D3F-9926-2F3657100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ce8e2-0bfa-4ae3-b62f-afeb61f48330"/>
    <ds:schemaRef ds:uri="http://schemas.microsoft.com/sharepoint/v3/fields"/>
    <ds:schemaRef ds:uri="1AB9BBCC-83C6-4736-B39B-ABA04A32D413"/>
    <ds:schemaRef ds:uri="1ab9bbcc-83c6-4736-b39b-aba04a32d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43AE5B-A207-4B3A-980D-923F24343CC4}">
  <ds:schemaRefs>
    <ds:schemaRef ds:uri="http://schemas.microsoft.com/office/2006/documentManagement/types"/>
    <ds:schemaRef ds:uri="a13ce8e2-0bfa-4ae3-b62f-afeb61f48330"/>
    <ds:schemaRef ds:uri="http://purl.org/dc/dcmitype/"/>
    <ds:schemaRef ds:uri="1AB9BBCC-83C6-4736-B39B-ABA04A32D41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1ab9bbcc-83c6-4736-b39b-aba04a32d413"/>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Intro</vt:lpstr>
      <vt:lpstr>Update</vt:lpstr>
      <vt:lpstr>Participation Inputs</vt:lpstr>
      <vt:lpstr>SST Balance Sheet BVG</vt:lpstr>
      <vt:lpstr>Differences_Stat_SSTBalance BVG</vt:lpstr>
      <vt:lpstr>Stat_SSTBalance Info</vt:lpstr>
      <vt:lpstr>Glossary</vt:lpstr>
      <vt:lpstr>Branch</vt:lpstr>
      <vt:lpstr>'Participation Inputs'!Language</vt:lpstr>
      <vt:lpstr>Language</vt:lpstr>
      <vt:lpstr>'Participation Inputs'!LanguageNo</vt:lpstr>
      <vt:lpstr>LanguageNo</vt:lpstr>
      <vt:lpstr>'Participation Inputs'!SST_Currency</vt:lpstr>
      <vt:lpstr>'Participation Inputs'!Translation</vt:lpstr>
      <vt:lpstr>Translation</vt:lpstr>
      <vt:lpstr>'Participation Inputs'!Unit</vt:lpstr>
      <vt:lpstr>Unit</vt:lpstr>
      <vt:lpstr>'Participation Inputs'!Year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Bignasca Franziska</dc:creator>
  <cp:lastModifiedBy>Meuser Johannes</cp:lastModifiedBy>
  <dcterms:created xsi:type="dcterms:W3CDTF">2015-06-05T18:17:20Z</dcterms:created>
  <dcterms:modified xsi:type="dcterms:W3CDTF">2024-10-30T10:38:33Z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OSP">
    <vt:lpwstr>19;#4-02.9 Verschiedenes|b7add63a-7a8a-4b8a-bfff-6c9ce2cbce07</vt:lpwstr>
  </property>
  <property fmtid="{D5CDD505-2E9C-101B-9397-08002B2CF9AE}" pid="4" name="OU">
    <vt:lpwstr>2;#Fachgebiet Risikomanagement|f7725cee-5d8f-4516-8102-0acd7d3144b7</vt:lpwstr>
  </property>
  <property fmtid="{D5CDD505-2E9C-101B-9397-08002B2CF9AE}" pid="5" name="ContentTypeId">
    <vt:lpwstr>0x0101003951D1F36BC944E987AD610ADE6A10C300C61021B14ACC904B85E5051915CA0D18</vt:lpwstr>
  </property>
  <property fmtid="{D5CDD505-2E9C-101B-9397-08002B2CF9AE}" pid="6" name="_dlc_DocIdItemGuid">
    <vt:lpwstr>2d91b87c-88bf-4df8-9446-bd185b5556e3</vt:lpwstr>
  </property>
  <property fmtid="{D5CDD505-2E9C-101B-9397-08002B2CF9AE}" pid="7" name="Ordnungsposition">
    <vt:lpwstr>5</vt:lpwstr>
  </property>
  <property fmtid="{D5CDD505-2E9C-101B-9397-08002B2CF9AE}" pid="8" name="Schlagwort">
    <vt:lpwstr/>
  </property>
  <property fmtid="{D5CDD505-2E9C-101B-9397-08002B2CF9AE}" pid="9" name="Schlagwort KategorieTaxHTField0">
    <vt:lpwstr/>
  </property>
  <property fmtid="{D5CDD505-2E9C-101B-9397-08002B2CF9AE}" pid="10" name="Reference">
    <vt:lpwstr>6005-T-6-55063 - 4-02.9 Verschiedenes</vt:lpwstr>
  </property>
  <property fmtid="{D5CDD505-2E9C-101B-9397-08002B2CF9AE}" pid="11" name="DossierStatus_Note">
    <vt:lpwstr/>
  </property>
</Properties>
</file>